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9572" windowHeight="8928" activeTab="0"/>
  </bookViews>
  <sheets>
    <sheet name="Army List" sheetId="1" r:id="rId1"/>
    <sheet name="Basis 1" sheetId="2" state="hidden" r:id="rId2"/>
    <sheet name="Daten 1" sheetId="3" state="hidden" r:id="rId3"/>
    <sheet name="Listen 1 " sheetId="4" state="hidden" r:id="rId4"/>
    <sheet name="Parameter 1" sheetId="5" state="hidden" r:id="rId5"/>
    <sheet name="Namensliste" sheetId="6" state="hidden" r:id="rId6"/>
  </sheets>
  <definedNames>
    <definedName name="_xlnm._FilterDatabase" localSheetId="0" hidden="1">'Army List'!$B$21:$B$53</definedName>
    <definedName name="B1.BATCHES">'Basis 1'!$M$13:$M$16</definedName>
    <definedName name="B1.BGS">'Basis 1'!$K$16</definedName>
    <definedName name="B1.BIGBG">'Basis 1'!$S$13</definedName>
    <definedName name="B1.BREAKPOINT">'Basis 1'!$S$11</definedName>
    <definedName name="B1.DEPLOYMENT">'Basis 1'!$M$11</definedName>
    <definedName name="B1.NOBASE">'Basis 1'!$Y$19:$Y$48</definedName>
    <definedName name="B1.OOM">'Basis 1'!$K$19:$K$48</definedName>
    <definedName name="B1.PBI">'Basis 1'!$P$11</definedName>
    <definedName name="B1.TOTAL">'Basis 1'!$V$11</definedName>
    <definedName name="F1.CINC">'Army List'!$G$15</definedName>
    <definedName name="L1.ARMOUR">'Listen 1 '!$L$11:$L$15</definedName>
    <definedName name="L1.COMMANDER">'Listen 1 '!$T$11:$T$13</definedName>
    <definedName name="L1.CTYPE">'Listen 1 '!$U$11:$U$14</definedName>
    <definedName name="L1.FCAMP">'Listen 1 '!$S$11:$S$12</definedName>
    <definedName name="L1.FORMATION">'Listen 1 '!$R$11:$R$15</definedName>
    <definedName name="L1.IMPACT">'Listen 1 '!$O$11:$O$22</definedName>
    <definedName name="L1.MELEE">'Listen 1 '!$P$11:$P$17</definedName>
    <definedName name="L1.OTHER">'Listen 1 '!$Q$11:$Q$14</definedName>
    <definedName name="L1.QUALITY">'Listen 1 '!$M$11:$M$15</definedName>
    <definedName name="L1.SHOOTING">'Listen 1 '!$N$11:$N$26</definedName>
    <definedName name="L1.TERRITORY">'Listen 1 '!$V$11:$V$17</definedName>
    <definedName name="L1.TTYPE">'Listen 1 '!$K$11:$K$30</definedName>
    <definedName name="P1.AUTOBREAK">'Parameter 1'!$K$11:$M$15</definedName>
    <definedName name="P1.BASSICCOST">'Parameter 1'!$R$11:$W$121</definedName>
    <definedName name="P1.BCOST">'Parameter 1'!$R$11:$V$113</definedName>
    <definedName name="P1.CAPABILITY">'Parameter 1'!$K$17:$L$37</definedName>
    <definedName name="P1.COMMANDER">'Parameter 1'!$K$39:$L$42</definedName>
    <definedName name="P1.CTYPE">'Parameter 1'!$X$29:$AA$32</definedName>
    <definedName name="P1.FORMATIONCOST">'Parameter 1'!$AM$11:$AQ$15</definedName>
    <definedName name="P1.IMPACTCOST">'Parameter 1'!$AC$11:$AG$22</definedName>
    <definedName name="P1.MELEECOST">'Parameter 1'!$AH$11:$AL$17</definedName>
    <definedName name="P1.MOUNTED">'Parameter 1'!$K$17:$M$37</definedName>
    <definedName name="P1.PBIC">'Parameter 1'!$X$29:$AB$32</definedName>
    <definedName name="P1.QUALITY">'Parameter 1'!$K$11:$L$15</definedName>
    <definedName name="P1.RGUN">'Parameter 1'!$K$11:$N$15</definedName>
    <definedName name="P1.SHOOTINGCOST">'Parameter 1'!$X$11:$AB$26</definedName>
  </definedNames>
  <calcPr fullCalcOnLoad="1"/>
</workbook>
</file>

<file path=xl/sharedStrings.xml><?xml version="1.0" encoding="utf-8"?>
<sst xmlns="http://schemas.openxmlformats.org/spreadsheetml/2006/main" count="784" uniqueCount="229">
  <si>
    <t>Type</t>
  </si>
  <si>
    <t>Troop Name</t>
  </si>
  <si>
    <t>Armour</t>
  </si>
  <si>
    <t>Quality</t>
  </si>
  <si>
    <t>25%</t>
  </si>
  <si>
    <t>Troop Type</t>
  </si>
  <si>
    <t>Capabilities</t>
  </si>
  <si>
    <t>Cost</t>
  </si>
  <si>
    <t>Deterioration</t>
  </si>
  <si>
    <t>Order of March</t>
  </si>
  <si>
    <t xml:space="preserve">Shooting </t>
  </si>
  <si>
    <t>Number of Bases</t>
  </si>
  <si>
    <t>Point per Base</t>
  </si>
  <si>
    <t>BG Value</t>
  </si>
  <si>
    <t>Autobreak</t>
  </si>
  <si>
    <t>ARMOUR</t>
  </si>
  <si>
    <t>TTYPE</t>
  </si>
  <si>
    <t>QUALITY</t>
  </si>
  <si>
    <t>elite</t>
  </si>
  <si>
    <t>superior</t>
  </si>
  <si>
    <t>average</t>
  </si>
  <si>
    <t>poor</t>
  </si>
  <si>
    <t>SHOOTING</t>
  </si>
  <si>
    <t>Arquebus</t>
  </si>
  <si>
    <t>Bombs</t>
  </si>
  <si>
    <t>Bow</t>
  </si>
  <si>
    <t>Bow*</t>
  </si>
  <si>
    <t>Carbine</t>
  </si>
  <si>
    <t>Crossbow</t>
  </si>
  <si>
    <t>Heavy Artillery</t>
  </si>
  <si>
    <t>Javelins</t>
  </si>
  <si>
    <t>Light Artillery</t>
  </si>
  <si>
    <t>Medium Artillery</t>
  </si>
  <si>
    <t>Musket</t>
  </si>
  <si>
    <t>Musket*</t>
  </si>
  <si>
    <t>Pistol</t>
  </si>
  <si>
    <t>Salvo</t>
  </si>
  <si>
    <t>Sling</t>
  </si>
  <si>
    <t>Impact</t>
  </si>
  <si>
    <t>Melee</t>
  </si>
  <si>
    <t>IMPACT</t>
  </si>
  <si>
    <t>MELEE</t>
  </si>
  <si>
    <t>Bayonet</t>
  </si>
  <si>
    <t>Heavy Weapon</t>
  </si>
  <si>
    <t>Impact Foot</t>
  </si>
  <si>
    <t>Impact Mounted</t>
  </si>
  <si>
    <t>Light Spear</t>
  </si>
  <si>
    <t>Pike</t>
  </si>
  <si>
    <t>Spearmen</t>
  </si>
  <si>
    <t>Swordsmen</t>
  </si>
  <si>
    <t>OTHER</t>
  </si>
  <si>
    <t>Other</t>
  </si>
  <si>
    <t>Heavy Lancers</t>
  </si>
  <si>
    <t>Light Lancers</t>
  </si>
  <si>
    <t>N/A</t>
  </si>
  <si>
    <t>–</t>
  </si>
  <si>
    <t>FOOT</t>
  </si>
  <si>
    <t>MOUNTED</t>
  </si>
  <si>
    <t>BATTLEWAGGON</t>
  </si>
  <si>
    <t>Shhoting</t>
  </si>
  <si>
    <t>Swedish Brig</t>
  </si>
  <si>
    <t>Armour / Type</t>
  </si>
  <si>
    <t>Bases BG</t>
  </si>
  <si>
    <t>Batches:</t>
  </si>
  <si>
    <t>Player Information</t>
  </si>
  <si>
    <t>Name and Surname</t>
  </si>
  <si>
    <t>Club</t>
  </si>
  <si>
    <t>E-Mail</t>
  </si>
  <si>
    <t>Tel. Number</t>
  </si>
  <si>
    <t>Bases</t>
  </si>
  <si>
    <t>Points per Base</t>
  </si>
  <si>
    <t>Auto-
break</t>
  </si>
  <si>
    <t>-</t>
  </si>
  <si>
    <t>Game Information</t>
  </si>
  <si>
    <t>Army Information</t>
  </si>
  <si>
    <t>Book Name</t>
  </si>
  <si>
    <t>Page</t>
  </si>
  <si>
    <t>List Name</t>
  </si>
  <si>
    <t>Army Date</t>
  </si>
  <si>
    <t>Territory Types</t>
  </si>
  <si>
    <t>Allies</t>
  </si>
  <si>
    <t>BG Deployment</t>
  </si>
  <si>
    <t>Pre Batlle Initiative Modifier</t>
  </si>
  <si>
    <t>Army List</t>
  </si>
  <si>
    <t>TOTAL</t>
  </si>
  <si>
    <t>Fortified Camp</t>
  </si>
  <si>
    <t>Field Fortification Total</t>
  </si>
  <si>
    <t>Value</t>
  </si>
  <si>
    <t>Number</t>
  </si>
  <si>
    <t>Office</t>
  </si>
  <si>
    <t>Commander Name</t>
  </si>
  <si>
    <t>CinC</t>
  </si>
  <si>
    <t>DF</t>
  </si>
  <si>
    <t>HF</t>
  </si>
  <si>
    <t>MF</t>
  </si>
  <si>
    <t>War</t>
  </si>
  <si>
    <t>LF</t>
  </si>
  <si>
    <t>Dr</t>
  </si>
  <si>
    <t>Mb</t>
  </si>
  <si>
    <t>BWg</t>
  </si>
  <si>
    <t>LArt</t>
  </si>
  <si>
    <t>MArt</t>
  </si>
  <si>
    <t>HArt</t>
  </si>
  <si>
    <t>Formation</t>
  </si>
  <si>
    <t>Gen</t>
  </si>
  <si>
    <t>Cvls</t>
  </si>
  <si>
    <t>Ho</t>
  </si>
  <si>
    <t>DHo</t>
  </si>
  <si>
    <t>LH</t>
  </si>
  <si>
    <t>Cv</t>
  </si>
  <si>
    <t>Cm</t>
  </si>
  <si>
    <t>El</t>
  </si>
  <si>
    <t>FORMATION</t>
  </si>
  <si>
    <t>Reg guns</t>
  </si>
  <si>
    <t>Reg Gun</t>
  </si>
  <si>
    <t>Fully armoured</t>
  </si>
  <si>
    <t>Heavily armoured</t>
  </si>
  <si>
    <t>Armoured</t>
  </si>
  <si>
    <t>Unarmoured</t>
  </si>
  <si>
    <t>Elite</t>
  </si>
  <si>
    <t>Superior</t>
  </si>
  <si>
    <t>Average</t>
  </si>
  <si>
    <t>Poor</t>
  </si>
  <si>
    <t>Commanded shot</t>
  </si>
  <si>
    <t>Limbers</t>
  </si>
  <si>
    <t>Regimental guns</t>
  </si>
  <si>
    <t>Swedish Brigade</t>
  </si>
  <si>
    <t>Bayonet in BG w/ Pike</t>
  </si>
  <si>
    <t>Shot in BG w/Pike</t>
  </si>
  <si>
    <t>Portable Defences</t>
  </si>
  <si>
    <t>Naval Units Total</t>
  </si>
  <si>
    <t>FCAMP</t>
  </si>
  <si>
    <t>Yes</t>
  </si>
  <si>
    <t>No</t>
  </si>
  <si>
    <t>COMMANDER</t>
  </si>
  <si>
    <t>Sub</t>
  </si>
  <si>
    <t>Ally</t>
  </si>
  <si>
    <t>CTYPE</t>
  </si>
  <si>
    <t>Mounted</t>
  </si>
  <si>
    <t xml:space="preserve"> Commander Type</t>
  </si>
  <si>
    <t>Great Commander</t>
  </si>
  <si>
    <t>Field Commander</t>
  </si>
  <si>
    <t>Troop Commander</t>
  </si>
  <si>
    <t>PBI:</t>
  </si>
  <si>
    <t>Mounted Bases</t>
  </si>
  <si>
    <t>B1.PBI</t>
  </si>
  <si>
    <t>Break Point</t>
  </si>
  <si>
    <t>Break Points</t>
  </si>
  <si>
    <t>Break Point for Army Rout</t>
  </si>
  <si>
    <t>Number of BGs</t>
  </si>
  <si>
    <t>TERRITORY</t>
  </si>
  <si>
    <t>Agricultural</t>
  </si>
  <si>
    <t>Hilly</t>
  </si>
  <si>
    <t>Woodlands</t>
  </si>
  <si>
    <t>Steppes</t>
  </si>
  <si>
    <t>Mountains</t>
  </si>
  <si>
    <t>Tropical</t>
  </si>
  <si>
    <t>Desert</t>
  </si>
  <si>
    <t>Army TOTAL</t>
  </si>
  <si>
    <t>B1.BATCHES</t>
  </si>
  <si>
    <t>='Basis 1'!$M$13:$M$16</t>
  </si>
  <si>
    <t>B1.BGS</t>
  </si>
  <si>
    <t>='Basis 1'!$K$16</t>
  </si>
  <si>
    <t>B1.BREAKPOINT</t>
  </si>
  <si>
    <t>='Basis 1'!$S$11</t>
  </si>
  <si>
    <t>B1.DEPLOYMENT</t>
  </si>
  <si>
    <t>='Basis 1'!$M$11</t>
  </si>
  <si>
    <t>B1.NOBASE</t>
  </si>
  <si>
    <t>='Basis 1'!$Y$19:$Y$48</t>
  </si>
  <si>
    <t>B1.OOM</t>
  </si>
  <si>
    <t>='Basis 1'!$K$19:$K$48</t>
  </si>
  <si>
    <t>='Basis 1'!$P$11</t>
  </si>
  <si>
    <t>B1.TOTAL</t>
  </si>
  <si>
    <t>='Basis 1'!$V$11</t>
  </si>
  <si>
    <t>F1.CINC</t>
  </si>
  <si>
    <t>='Army List'!$G$15</t>
  </si>
  <si>
    <t>L1.ARMOUR</t>
  </si>
  <si>
    <t>='Listen 1 '!$L$11:$L$15</t>
  </si>
  <si>
    <t>L1.COMMANDER</t>
  </si>
  <si>
    <t>='Listen 1 '!$T$11:$T$13</t>
  </si>
  <si>
    <t>L1.CTYPE</t>
  </si>
  <si>
    <t>='Listen 1 '!$U$11:$U$14</t>
  </si>
  <si>
    <t>L1.FCAMP</t>
  </si>
  <si>
    <t>='Listen 1 '!$S$11:$S$12</t>
  </si>
  <si>
    <t>L1.FORMATION</t>
  </si>
  <si>
    <t>='Listen 1 '!$R$11:$R$15</t>
  </si>
  <si>
    <t>L1.IMPACT</t>
  </si>
  <si>
    <t>='Listen 1 '!$O$11:$O$22</t>
  </si>
  <si>
    <t>L1.MELEE</t>
  </si>
  <si>
    <t>='Listen 1 '!$P$11:$P$17</t>
  </si>
  <si>
    <t>L1.OTHER</t>
  </si>
  <si>
    <t>='Listen 1 '!$Q$11:$Q$14</t>
  </si>
  <si>
    <t>L1.QUALITY</t>
  </si>
  <si>
    <t>='Listen 1 '!$M$11:$M$15</t>
  </si>
  <si>
    <t>L1.SHOOTING</t>
  </si>
  <si>
    <t>='Listen 1 '!$N$11:$N$26</t>
  </si>
  <si>
    <t>L1.TERRITORY</t>
  </si>
  <si>
    <t>='Listen 1 '!$V$11:$V$17</t>
  </si>
  <si>
    <t>L1.TTYPE</t>
  </si>
  <si>
    <t>='Listen 1 '!$K$11:$K$30</t>
  </si>
  <si>
    <t>P1.AUTOBREAK</t>
  </si>
  <si>
    <t>='Parameter 1'!$K$11:$M$15</t>
  </si>
  <si>
    <t>P1.BASSICCOST</t>
  </si>
  <si>
    <t>='Parameter 1'!$R$11:$W$121</t>
  </si>
  <si>
    <t>P1.BCOST</t>
  </si>
  <si>
    <t>='Parameter 1'!$R$11:$V$113</t>
  </si>
  <si>
    <t>P1.CAPABILITY</t>
  </si>
  <si>
    <t>='Parameter 1'!$K$17:$L$37</t>
  </si>
  <si>
    <t>P1.COMMANDER</t>
  </si>
  <si>
    <t>='Parameter 1'!$K$39:$L$42</t>
  </si>
  <si>
    <t>P1.CTYPE</t>
  </si>
  <si>
    <t>='Parameter 1'!$X$29:$AA$32</t>
  </si>
  <si>
    <t>P1.FORMATIONCOST</t>
  </si>
  <si>
    <t>='Parameter 1'!$AM$11:$AQ$15</t>
  </si>
  <si>
    <t>P1.IMPACTCOST</t>
  </si>
  <si>
    <t>='Parameter 1'!$AC$11:$AG$22</t>
  </si>
  <si>
    <t>P1.MELEECOST</t>
  </si>
  <si>
    <t>='Parameter 1'!$AH$11:$AL$17</t>
  </si>
  <si>
    <t>P1.MOUNTED</t>
  </si>
  <si>
    <t>='Parameter 1'!$K$17:$M$37</t>
  </si>
  <si>
    <t>P1.PBIC</t>
  </si>
  <si>
    <t>='Parameter 1'!$X$29:$AB$32</t>
  </si>
  <si>
    <t>P1.QUALITY</t>
  </si>
  <si>
    <t>='Parameter 1'!$K$11:$L$15</t>
  </si>
  <si>
    <t>P1.RGUN</t>
  </si>
  <si>
    <t>='Parameter 1'!$K$11:$N$15</t>
  </si>
  <si>
    <t>P1.SHOOTINGCOST</t>
  </si>
  <si>
    <t>='Parameter 1'!$X$11:$AB$26</t>
  </si>
  <si>
    <t>No Big BG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</si>
</sst>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#\ 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4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43"/>
      <name val="Calibri"/>
      <family val="2"/>
    </font>
    <font>
      <sz val="11"/>
      <color indexed="16"/>
      <name val="Calibri"/>
      <family val="2"/>
    </font>
    <font>
      <b/>
      <sz val="9"/>
      <color indexed="43"/>
      <name val="Calibri"/>
      <family val="2"/>
    </font>
    <font>
      <sz val="9"/>
      <color indexed="51"/>
      <name val="Calibri"/>
      <family val="2"/>
    </font>
    <font>
      <b/>
      <sz val="10"/>
      <color indexed="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5"/>
      <name val="Calibri"/>
      <family val="2"/>
    </font>
    <font>
      <sz val="8"/>
      <color theme="2"/>
      <name val="Calibri"/>
      <family val="2"/>
    </font>
    <font>
      <sz val="8"/>
      <color theme="1"/>
      <name val="Calibri"/>
      <family val="2"/>
    </font>
    <font>
      <b/>
      <sz val="9"/>
      <color theme="2"/>
      <name val="Calibri"/>
      <family val="2"/>
    </font>
    <font>
      <sz val="9"/>
      <color theme="1"/>
      <name val="Calibri"/>
      <family val="2"/>
    </font>
    <font>
      <sz val="9"/>
      <color theme="7"/>
      <name val="Calibri"/>
      <family val="2"/>
    </font>
    <font>
      <sz val="11"/>
      <color theme="6" tint="-0.4999699890613556"/>
      <name val="Calibri"/>
      <family val="2"/>
    </font>
    <font>
      <b/>
      <sz val="10"/>
      <color theme="1"/>
      <name val="Calibri"/>
      <family val="2"/>
    </font>
    <font>
      <sz val="11"/>
      <color theme="4"/>
      <name val="Calibri"/>
      <family val="2"/>
    </font>
    <font>
      <sz val="11"/>
      <color theme="2" tint="-0.4999699890613556"/>
      <name val="Calibri"/>
      <family val="2"/>
    </font>
    <font>
      <sz val="11"/>
      <color theme="9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24998000264167786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>
        <color theme="7"/>
      </bottom>
    </border>
    <border>
      <left/>
      <right/>
      <top style="thin">
        <color theme="4"/>
      </top>
      <bottom/>
    </border>
    <border>
      <left/>
      <right/>
      <top/>
      <bottom style="thin">
        <color theme="4"/>
      </bottom>
    </border>
    <border>
      <left style="thin">
        <color theme="7"/>
      </left>
      <right style="thin">
        <color theme="7"/>
      </right>
      <top style="thin">
        <color theme="7"/>
      </top>
      <bottom/>
    </border>
    <border>
      <left style="thin">
        <color theme="7"/>
      </left>
      <right style="thin">
        <color theme="7"/>
      </right>
      <top/>
      <bottom/>
    </border>
    <border>
      <left style="thin">
        <color theme="7"/>
      </left>
      <right style="thin">
        <color theme="7"/>
      </right>
      <top/>
      <bottom style="thin">
        <color theme="7"/>
      </bottom>
    </border>
    <border>
      <left/>
      <right/>
      <top/>
      <bottom style="thin">
        <color theme="5"/>
      </bottom>
    </border>
    <border>
      <left style="thin">
        <color theme="7"/>
      </left>
      <right style="thin">
        <color theme="5"/>
      </right>
      <top style="thin">
        <color theme="5"/>
      </top>
      <bottom/>
    </border>
    <border>
      <left style="thin">
        <color theme="7"/>
      </left>
      <right style="thin">
        <color theme="5"/>
      </right>
      <top/>
      <bottom/>
    </border>
    <border>
      <left style="thin">
        <color theme="7"/>
      </left>
      <right style="thin">
        <color theme="5"/>
      </right>
      <top/>
      <bottom style="thin">
        <color theme="5"/>
      </bottom>
    </border>
    <border>
      <left/>
      <right style="thin">
        <color theme="5"/>
      </right>
      <top style="thin">
        <color theme="5"/>
      </top>
      <bottom/>
    </border>
    <border>
      <left/>
      <right style="thin">
        <color theme="5"/>
      </right>
      <top/>
      <bottom/>
    </border>
    <border>
      <left/>
      <right style="thin">
        <color theme="5"/>
      </right>
      <top/>
      <bottom style="thin">
        <color theme="5"/>
      </bottom>
    </border>
    <border>
      <left style="thin">
        <color theme="5"/>
      </left>
      <right style="thin">
        <color theme="6"/>
      </right>
      <top/>
      <bottom/>
    </border>
    <border>
      <left style="thin">
        <color theme="5"/>
      </left>
      <right style="thin">
        <color theme="6"/>
      </right>
      <top style="thin">
        <color theme="6"/>
      </top>
      <bottom/>
    </border>
    <border>
      <left style="thin">
        <color theme="5"/>
      </left>
      <right style="thin">
        <color theme="6"/>
      </right>
      <top/>
      <bottom style="thin">
        <color theme="6"/>
      </bottom>
    </border>
    <border>
      <left/>
      <right/>
      <top style="thin"/>
      <bottom style="thin">
        <color theme="9"/>
      </bottom>
    </border>
    <border>
      <left style="thin"/>
      <right style="thin">
        <color theme="9"/>
      </right>
      <top style="thin">
        <color theme="9"/>
      </top>
      <bottom/>
    </border>
    <border>
      <left style="thin"/>
      <right style="thin">
        <color theme="9"/>
      </right>
      <top/>
      <bottom/>
    </border>
    <border>
      <left style="thin"/>
      <right style="thin">
        <color theme="9"/>
      </right>
      <top/>
      <bottom style="thin">
        <color theme="9"/>
      </bottom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48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 quotePrefix="1">
      <alignment/>
    </xf>
    <xf numFmtId="0" fontId="0" fillId="21" borderId="0" xfId="0" applyFill="1" applyAlignment="1">
      <alignment/>
    </xf>
    <xf numFmtId="0" fontId="0" fillId="3" borderId="0" xfId="0" applyFill="1" applyAlignment="1">
      <alignment/>
    </xf>
    <xf numFmtId="0" fontId="0" fillId="17" borderId="0" xfId="0" applyFill="1" applyAlignment="1">
      <alignment/>
    </xf>
    <xf numFmtId="0" fontId="0" fillId="4" borderId="0" xfId="0" applyFill="1" applyAlignment="1">
      <alignment/>
    </xf>
    <xf numFmtId="0" fontId="0" fillId="12" borderId="0" xfId="0" applyFill="1" applyAlignment="1">
      <alignment/>
    </xf>
    <xf numFmtId="0" fontId="0" fillId="33" borderId="0" xfId="0" applyFill="1" applyAlignment="1">
      <alignment/>
    </xf>
    <xf numFmtId="0" fontId="0" fillId="16" borderId="0" xfId="0" applyFill="1" applyAlignment="1">
      <alignment/>
    </xf>
    <xf numFmtId="0" fontId="0" fillId="6" borderId="0" xfId="0" applyFill="1" applyAlignment="1">
      <alignment/>
    </xf>
    <xf numFmtId="0" fontId="3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51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/>
    </xf>
    <xf numFmtId="0" fontId="52" fillId="36" borderId="0" xfId="0" applyFont="1" applyFill="1" applyBorder="1" applyAlignment="1">
      <alignment/>
    </xf>
    <xf numFmtId="0" fontId="53" fillId="36" borderId="18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3" fillId="36" borderId="19" xfId="0" applyFont="1" applyFill="1" applyBorder="1" applyAlignment="1">
      <alignment horizontal="center" vertical="center"/>
    </xf>
    <xf numFmtId="0" fontId="53" fillId="36" borderId="20" xfId="0" applyFont="1" applyFill="1" applyBorder="1" applyAlignment="1">
      <alignment horizontal="center" vertical="center"/>
    </xf>
    <xf numFmtId="0" fontId="53" fillId="36" borderId="21" xfId="0" applyFont="1" applyFill="1" applyBorder="1" applyAlignment="1">
      <alignment horizontal="center" vertical="center"/>
    </xf>
    <xf numFmtId="0" fontId="53" fillId="36" borderId="22" xfId="0" applyFont="1" applyFill="1" applyBorder="1" applyAlignment="1">
      <alignment horizontal="center" vertical="center"/>
    </xf>
    <xf numFmtId="0" fontId="55" fillId="37" borderId="2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3" fillId="36" borderId="24" xfId="0" applyFont="1" applyFill="1" applyBorder="1" applyAlignment="1">
      <alignment horizontal="center" vertical="center"/>
    </xf>
    <xf numFmtId="4" fontId="52" fillId="36" borderId="0" xfId="0" applyNumberFormat="1" applyFont="1" applyFill="1" applyBorder="1" applyAlignment="1">
      <alignment/>
    </xf>
    <xf numFmtId="0" fontId="56" fillId="36" borderId="0" xfId="0" applyFont="1" applyFill="1" applyBorder="1" applyAlignment="1">
      <alignment/>
    </xf>
    <xf numFmtId="0" fontId="57" fillId="38" borderId="18" xfId="0" applyFont="1" applyFill="1" applyBorder="1" applyAlignment="1">
      <alignment horizontal="center" vertical="center" wrapText="1"/>
    </xf>
    <xf numFmtId="0" fontId="54" fillId="38" borderId="18" xfId="0" applyFont="1" applyFill="1" applyBorder="1" applyAlignment="1">
      <alignment horizontal="center" vertical="center" wrapText="1"/>
    </xf>
    <xf numFmtId="0" fontId="54" fillId="38" borderId="18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48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0" fillId="0" borderId="25" xfId="0" applyBorder="1" applyAlignment="1">
      <alignment/>
    </xf>
    <xf numFmtId="0" fontId="58" fillId="0" borderId="26" xfId="0" applyFont="1" applyBorder="1" applyAlignment="1">
      <alignment/>
    </xf>
    <xf numFmtId="0" fontId="58" fillId="0" borderId="27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59" fillId="0" borderId="11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9" fillId="0" borderId="16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Border="1" applyAlignment="1">
      <alignment/>
    </xf>
    <xf numFmtId="0" fontId="50" fillId="0" borderId="35" xfId="0" applyFont="1" applyBorder="1" applyAlignment="1">
      <alignment/>
    </xf>
    <xf numFmtId="0" fontId="50" fillId="0" borderId="36" xfId="0" applyFont="1" applyBorder="1" applyAlignment="1">
      <alignment/>
    </xf>
    <xf numFmtId="0" fontId="50" fillId="0" borderId="36" xfId="0" applyFont="1" applyFill="1" applyBorder="1" applyAlignment="1">
      <alignment/>
    </xf>
    <xf numFmtId="0" fontId="5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41" xfId="0" applyBorder="1" applyAlignment="1">
      <alignment/>
    </xf>
    <xf numFmtId="0" fontId="60" fillId="0" borderId="42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Fill="1" applyBorder="1" applyAlignment="1">
      <alignment/>
    </xf>
    <xf numFmtId="0" fontId="0" fillId="13" borderId="0" xfId="0" applyFill="1" applyAlignment="1">
      <alignment/>
    </xf>
    <xf numFmtId="0" fontId="0" fillId="25" borderId="0" xfId="0" applyFill="1" applyAlignment="1">
      <alignment/>
    </xf>
    <xf numFmtId="0" fontId="0" fillId="40" borderId="0" xfId="0" applyFill="1" applyAlignment="1">
      <alignment/>
    </xf>
    <xf numFmtId="0" fontId="34" fillId="41" borderId="0" xfId="0" applyFont="1" applyFill="1" applyAlignment="1">
      <alignment/>
    </xf>
    <xf numFmtId="0" fontId="0" fillId="20" borderId="0" xfId="0" applyFill="1" applyAlignment="1">
      <alignment/>
    </xf>
    <xf numFmtId="0" fontId="54" fillId="0" borderId="18" xfId="0" applyFont="1" applyBorder="1" applyAlignment="1" applyProtection="1">
      <alignment horizontal="center"/>
      <protection locked="0"/>
    </xf>
    <xf numFmtId="0" fontId="54" fillId="0" borderId="45" xfId="0" applyFont="1" applyBorder="1" applyAlignment="1" applyProtection="1">
      <alignment horizontal="center"/>
      <protection locked="0"/>
    </xf>
    <xf numFmtId="0" fontId="54" fillId="0" borderId="46" xfId="0" applyFont="1" applyBorder="1" applyAlignment="1" applyProtection="1">
      <alignment horizontal="center"/>
      <protection locked="0"/>
    </xf>
    <xf numFmtId="0" fontId="54" fillId="0" borderId="47" xfId="0" applyFont="1" applyBorder="1" applyAlignment="1" applyProtection="1">
      <alignment horizontal="center"/>
      <protection locked="0"/>
    </xf>
    <xf numFmtId="0" fontId="54" fillId="0" borderId="18" xfId="0" applyFont="1" applyBorder="1" applyAlignment="1" applyProtection="1">
      <alignment horizontal="center" vertical="center"/>
      <protection locked="0"/>
    </xf>
    <xf numFmtId="0" fontId="52" fillId="0" borderId="18" xfId="0" applyFont="1" applyBorder="1" applyAlignment="1" applyProtection="1">
      <alignment horizontal="center" vertical="center" wrapText="1"/>
      <protection locked="0"/>
    </xf>
    <xf numFmtId="0" fontId="54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/>
    </xf>
    <xf numFmtId="0" fontId="61" fillId="0" borderId="18" xfId="0" applyFont="1" applyBorder="1" applyAlignment="1" applyProtection="1">
      <alignment horizontal="left" vertical="center"/>
      <protection locked="0"/>
    </xf>
    <xf numFmtId="0" fontId="61" fillId="0" borderId="19" xfId="0" applyFont="1" applyBorder="1" applyAlignment="1" applyProtection="1">
      <alignment/>
      <protection locked="0"/>
    </xf>
    <xf numFmtId="0" fontId="62" fillId="38" borderId="19" xfId="0" applyFont="1" applyFill="1" applyBorder="1" applyAlignment="1">
      <alignment horizontal="center"/>
    </xf>
    <xf numFmtId="0" fontId="62" fillId="38" borderId="48" xfId="0" applyFont="1" applyFill="1" applyBorder="1" applyAlignment="1">
      <alignment horizontal="center"/>
    </xf>
    <xf numFmtId="0" fontId="61" fillId="0" borderId="20" xfId="0" applyFont="1" applyBorder="1" applyAlignment="1" applyProtection="1">
      <alignment horizontal="left"/>
      <protection locked="0"/>
    </xf>
    <xf numFmtId="0" fontId="61" fillId="0" borderId="49" xfId="0" applyFont="1" applyBorder="1" applyAlignment="1" applyProtection="1">
      <alignment horizontal="left"/>
      <protection locked="0"/>
    </xf>
    <xf numFmtId="0" fontId="61" fillId="0" borderId="20" xfId="0" applyFont="1" applyBorder="1" applyAlignment="1" applyProtection="1">
      <alignment horizontal="center"/>
      <protection locked="0"/>
    </xf>
    <xf numFmtId="0" fontId="54" fillId="0" borderId="45" xfId="0" applyFont="1" applyBorder="1" applyAlignment="1" applyProtection="1">
      <alignment horizontal="center"/>
      <protection locked="0"/>
    </xf>
    <xf numFmtId="0" fontId="54" fillId="0" borderId="50" xfId="0" applyFont="1" applyBorder="1" applyAlignment="1" applyProtection="1">
      <alignment horizontal="center"/>
      <protection locked="0"/>
    </xf>
    <xf numFmtId="0" fontId="54" fillId="0" borderId="47" xfId="0" applyFont="1" applyBorder="1" applyAlignment="1" applyProtection="1">
      <alignment horizontal="center"/>
      <protection locked="0"/>
    </xf>
    <xf numFmtId="0" fontId="54" fillId="0" borderId="51" xfId="0" applyFont="1" applyBorder="1" applyAlignment="1" applyProtection="1">
      <alignment horizontal="center"/>
      <protection locked="0"/>
    </xf>
    <xf numFmtId="164" fontId="57" fillId="38" borderId="52" xfId="0" applyNumberFormat="1" applyFont="1" applyFill="1" applyBorder="1" applyAlignment="1">
      <alignment horizontal="center"/>
    </xf>
    <xf numFmtId="164" fontId="57" fillId="38" borderId="18" xfId="0" applyNumberFormat="1" applyFont="1" applyFill="1" applyBorder="1" applyAlignment="1">
      <alignment horizontal="center"/>
    </xf>
    <xf numFmtId="164" fontId="57" fillId="38" borderId="19" xfId="0" applyNumberFormat="1" applyFont="1" applyFill="1" applyBorder="1" applyAlignment="1">
      <alignment horizontal="center"/>
    </xf>
    <xf numFmtId="0" fontId="55" fillId="37" borderId="53" xfId="0" applyFont="1" applyFill="1" applyBorder="1" applyAlignment="1">
      <alignment horizontal="center" vertical="center"/>
    </xf>
    <xf numFmtId="0" fontId="55" fillId="37" borderId="54" xfId="0" applyFont="1" applyFill="1" applyBorder="1" applyAlignment="1">
      <alignment horizontal="center" vertical="center"/>
    </xf>
    <xf numFmtId="0" fontId="55" fillId="37" borderId="55" xfId="0" applyFont="1" applyFill="1" applyBorder="1" applyAlignment="1">
      <alignment horizontal="center" vertical="center"/>
    </xf>
    <xf numFmtId="0" fontId="53" fillId="36" borderId="56" xfId="0" applyFont="1" applyFill="1" applyBorder="1" applyAlignment="1">
      <alignment horizontal="center" vertical="center"/>
    </xf>
    <xf numFmtId="0" fontId="53" fillId="36" borderId="24" xfId="0" applyFont="1" applyFill="1" applyBorder="1" applyAlignment="1">
      <alignment horizontal="center" vertical="center"/>
    </xf>
    <xf numFmtId="0" fontId="61" fillId="0" borderId="52" xfId="0" applyFont="1" applyBorder="1" applyAlignment="1" applyProtection="1">
      <alignment horizontal="center"/>
      <protection locked="0"/>
    </xf>
    <xf numFmtId="0" fontId="61" fillId="0" borderId="18" xfId="0" applyFont="1" applyBorder="1" applyAlignment="1" applyProtection="1">
      <alignment horizontal="center"/>
      <protection locked="0"/>
    </xf>
    <xf numFmtId="0" fontId="53" fillId="36" borderId="57" xfId="0" applyFont="1" applyFill="1" applyBorder="1" applyAlignment="1">
      <alignment horizontal="center" vertical="center"/>
    </xf>
    <xf numFmtId="0" fontId="53" fillId="36" borderId="58" xfId="0" applyFont="1" applyFill="1" applyBorder="1" applyAlignment="1">
      <alignment horizontal="center" vertical="center"/>
    </xf>
    <xf numFmtId="0" fontId="53" fillId="36" borderId="52" xfId="0" applyFont="1" applyFill="1" applyBorder="1" applyAlignment="1">
      <alignment horizontal="center" vertical="center"/>
    </xf>
    <xf numFmtId="0" fontId="53" fillId="36" borderId="18" xfId="0" applyFont="1" applyFill="1" applyBorder="1" applyAlignment="1">
      <alignment horizontal="center" vertical="center"/>
    </xf>
    <xf numFmtId="0" fontId="53" fillId="36" borderId="19" xfId="0" applyFont="1" applyFill="1" applyBorder="1" applyAlignment="1">
      <alignment horizontal="center" vertical="center"/>
    </xf>
    <xf numFmtId="0" fontId="57" fillId="38" borderId="59" xfId="0" applyFont="1" applyFill="1" applyBorder="1" applyAlignment="1">
      <alignment horizontal="center"/>
    </xf>
    <xf numFmtId="0" fontId="57" fillId="38" borderId="46" xfId="0" applyFont="1" applyFill="1" applyBorder="1" applyAlignment="1">
      <alignment horizontal="center"/>
    </xf>
    <xf numFmtId="0" fontId="57" fillId="38" borderId="48" xfId="0" applyFont="1" applyFill="1" applyBorder="1" applyAlignment="1">
      <alignment horizontal="center"/>
    </xf>
    <xf numFmtId="0" fontId="61" fillId="0" borderId="19" xfId="0" applyFont="1" applyBorder="1" applyAlignment="1" applyProtection="1">
      <alignment horizontal="center"/>
      <protection locked="0"/>
    </xf>
    <xf numFmtId="0" fontId="61" fillId="0" borderId="59" xfId="0" applyFont="1" applyBorder="1" applyAlignment="1" applyProtection="1">
      <alignment horizontal="center"/>
      <protection locked="0"/>
    </xf>
    <xf numFmtId="0" fontId="61" fillId="0" borderId="46" xfId="0" applyFont="1" applyBorder="1" applyAlignment="1" applyProtection="1">
      <alignment horizontal="center"/>
      <protection locked="0"/>
    </xf>
    <xf numFmtId="0" fontId="61" fillId="0" borderId="48" xfId="0" applyFont="1" applyBorder="1" applyAlignment="1" applyProtection="1">
      <alignment horizontal="center"/>
      <protection locked="0"/>
    </xf>
    <xf numFmtId="0" fontId="61" fillId="0" borderId="60" xfId="0" applyFont="1" applyBorder="1" applyAlignment="1" applyProtection="1">
      <alignment horizontal="center"/>
      <protection locked="0"/>
    </xf>
    <xf numFmtId="0" fontId="61" fillId="0" borderId="50" xfId="0" applyFont="1" applyBorder="1" applyAlignment="1" applyProtection="1">
      <alignment horizontal="center"/>
      <protection locked="0"/>
    </xf>
    <xf numFmtId="0" fontId="61" fillId="0" borderId="45" xfId="0" applyFont="1" applyBorder="1" applyAlignment="1" applyProtection="1">
      <alignment horizontal="center"/>
      <protection locked="0"/>
    </xf>
    <xf numFmtId="0" fontId="61" fillId="0" borderId="61" xfId="0" applyFont="1" applyBorder="1" applyAlignment="1" applyProtection="1">
      <alignment horizontal="center"/>
      <protection locked="0"/>
    </xf>
    <xf numFmtId="0" fontId="53" fillId="36" borderId="62" xfId="0" applyFont="1" applyFill="1" applyBorder="1" applyAlignment="1">
      <alignment horizontal="center"/>
    </xf>
    <xf numFmtId="0" fontId="53" fillId="36" borderId="63" xfId="0" applyFont="1" applyFill="1" applyBorder="1" applyAlignment="1">
      <alignment horizontal="center"/>
    </xf>
    <xf numFmtId="0" fontId="53" fillId="36" borderId="64" xfId="0" applyFont="1" applyFill="1" applyBorder="1" applyAlignment="1">
      <alignment horizontal="center"/>
    </xf>
    <xf numFmtId="0" fontId="55" fillId="37" borderId="56" xfId="0" applyFont="1" applyFill="1" applyBorder="1" applyAlignment="1">
      <alignment horizontal="center" vertical="center"/>
    </xf>
    <xf numFmtId="0" fontId="55" fillId="37" borderId="24" xfId="0" applyFont="1" applyFill="1" applyBorder="1" applyAlignment="1">
      <alignment horizontal="center" vertical="center"/>
    </xf>
    <xf numFmtId="0" fontId="55" fillId="37" borderId="22" xfId="0" applyFont="1" applyFill="1" applyBorder="1" applyAlignment="1">
      <alignment horizontal="center" vertical="center"/>
    </xf>
    <xf numFmtId="0" fontId="57" fillId="38" borderId="52" xfId="0" applyFont="1" applyFill="1" applyBorder="1" applyAlignment="1">
      <alignment horizontal="center"/>
    </xf>
    <xf numFmtId="0" fontId="57" fillId="38" borderId="18" xfId="0" applyFont="1" applyFill="1" applyBorder="1" applyAlignment="1">
      <alignment horizontal="center"/>
    </xf>
    <xf numFmtId="0" fontId="57" fillId="38" borderId="19" xfId="0" applyFont="1" applyFill="1" applyBorder="1" applyAlignment="1">
      <alignment horizontal="center"/>
    </xf>
    <xf numFmtId="0" fontId="53" fillId="36" borderId="45" xfId="0" applyFont="1" applyFill="1" applyBorder="1" applyAlignment="1">
      <alignment horizontal="center" vertical="center" wrapText="1"/>
    </xf>
    <xf numFmtId="0" fontId="53" fillId="36" borderId="50" xfId="0" applyFont="1" applyFill="1" applyBorder="1" applyAlignment="1">
      <alignment horizontal="center" vertical="center" wrapText="1"/>
    </xf>
    <xf numFmtId="0" fontId="53" fillId="36" borderId="18" xfId="0" applyFont="1" applyFill="1" applyBorder="1" applyAlignment="1">
      <alignment horizontal="center" vertical="center" wrapText="1"/>
    </xf>
    <xf numFmtId="0" fontId="63" fillId="38" borderId="65" xfId="0" applyFont="1" applyFill="1" applyBorder="1" applyAlignment="1">
      <alignment horizontal="center" vertical="center" shrinkToFit="1"/>
    </xf>
    <xf numFmtId="0" fontId="63" fillId="38" borderId="16" xfId="0" applyFont="1" applyFill="1" applyBorder="1" applyAlignment="1">
      <alignment horizontal="center" vertical="center" shrinkToFit="1"/>
    </xf>
    <xf numFmtId="0" fontId="63" fillId="38" borderId="66" xfId="0" applyFont="1" applyFill="1" applyBorder="1" applyAlignment="1">
      <alignment horizontal="center" vertical="center" shrinkToFit="1"/>
    </xf>
    <xf numFmtId="0" fontId="63" fillId="38" borderId="67" xfId="0" applyFont="1" applyFill="1" applyBorder="1" applyAlignment="1">
      <alignment horizontal="center" vertical="center" shrinkToFit="1"/>
    </xf>
    <xf numFmtId="0" fontId="63" fillId="38" borderId="0" xfId="0" applyFont="1" applyFill="1" applyBorder="1" applyAlignment="1">
      <alignment horizontal="center" vertical="center" shrinkToFit="1"/>
    </xf>
    <xf numFmtId="0" fontId="63" fillId="38" borderId="68" xfId="0" applyFont="1" applyFill="1" applyBorder="1" applyAlignment="1">
      <alignment horizontal="center" vertical="center" shrinkToFit="1"/>
    </xf>
    <xf numFmtId="0" fontId="63" fillId="38" borderId="69" xfId="0" applyFont="1" applyFill="1" applyBorder="1" applyAlignment="1">
      <alignment horizontal="center" vertical="center" shrinkToFit="1"/>
    </xf>
    <xf numFmtId="0" fontId="63" fillId="38" borderId="70" xfId="0" applyFont="1" applyFill="1" applyBorder="1" applyAlignment="1">
      <alignment horizontal="center" vertical="center" shrinkToFit="1"/>
    </xf>
    <xf numFmtId="0" fontId="63" fillId="38" borderId="71" xfId="0" applyFont="1" applyFill="1" applyBorder="1" applyAlignment="1">
      <alignment horizontal="center" vertical="center" shrinkToFit="1"/>
    </xf>
    <xf numFmtId="0" fontId="54" fillId="0" borderId="60" xfId="0" applyFont="1" applyBorder="1" applyAlignment="1" applyProtection="1">
      <alignment horizontal="center"/>
      <protection locked="0"/>
    </xf>
    <xf numFmtId="0" fontId="54" fillId="0" borderId="72" xfId="0" applyFont="1" applyBorder="1" applyAlignment="1" applyProtection="1">
      <alignment horizontal="center"/>
      <protection locked="0"/>
    </xf>
    <xf numFmtId="0" fontId="54" fillId="0" borderId="14" xfId="0" applyFont="1" applyBorder="1" applyAlignment="1" applyProtection="1">
      <alignment horizontal="center"/>
      <protection locked="0"/>
    </xf>
    <xf numFmtId="0" fontId="54" fillId="0" borderId="15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ereus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Q53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1" max="1" width="1.1484375" style="0" customWidth="1"/>
    <col min="2" max="2" width="5.28125" style="0" customWidth="1"/>
    <col min="3" max="3" width="26.7109375" style="0" customWidth="1"/>
    <col min="4" max="4" width="4.140625" style="0" bestFit="1" customWidth="1"/>
    <col min="5" max="5" width="8.7109375" style="0" customWidth="1"/>
    <col min="6" max="6" width="7.7109375" style="0" bestFit="1" customWidth="1"/>
    <col min="7" max="7" width="8.7109375" style="0" customWidth="1"/>
    <col min="8" max="8" width="7.28125" style="0" customWidth="1"/>
    <col min="9" max="9" width="7.57421875" style="0" customWidth="1"/>
    <col min="10" max="10" width="8.140625" style="0" customWidth="1"/>
    <col min="11" max="11" width="7.421875" style="0" customWidth="1"/>
    <col min="12" max="12" width="5.00390625" style="0" customWidth="1"/>
    <col min="13" max="13" width="7.140625" style="0" customWidth="1"/>
    <col min="14" max="14" width="4.7109375" style="0" bestFit="1" customWidth="1"/>
    <col min="15" max="15" width="4.7109375" style="0" customWidth="1"/>
    <col min="16" max="16" width="5.57421875" style="0" customWidth="1"/>
    <col min="17" max="17" width="0.85546875" style="0" customWidth="1"/>
  </cols>
  <sheetData>
    <row r="1" spans="1:17" ht="4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4.25">
      <c r="A2" s="36"/>
      <c r="B2" s="39"/>
      <c r="C2" s="48" t="s">
        <v>64</v>
      </c>
      <c r="D2" s="41"/>
      <c r="E2" s="145" t="s">
        <v>74</v>
      </c>
      <c r="F2" s="146"/>
      <c r="G2" s="146"/>
      <c r="H2" s="146"/>
      <c r="I2" s="146"/>
      <c r="J2" s="147"/>
      <c r="L2" s="145" t="s">
        <v>73</v>
      </c>
      <c r="M2" s="146"/>
      <c r="N2" s="146"/>
      <c r="O2" s="147"/>
      <c r="P2" s="39"/>
      <c r="Q2" s="51"/>
    </row>
    <row r="3" spans="1:17" ht="14.25">
      <c r="A3" s="36"/>
      <c r="B3" s="39"/>
      <c r="C3" s="45" t="s">
        <v>65</v>
      </c>
      <c r="D3" s="42"/>
      <c r="E3" s="128" t="s">
        <v>75</v>
      </c>
      <c r="F3" s="129"/>
      <c r="G3" s="129"/>
      <c r="H3" s="129"/>
      <c r="I3" s="129"/>
      <c r="J3" s="44" t="s">
        <v>76</v>
      </c>
      <c r="K3" s="39"/>
      <c r="L3" s="128" t="s">
        <v>81</v>
      </c>
      <c r="M3" s="129"/>
      <c r="N3" s="129"/>
      <c r="O3" s="130"/>
      <c r="P3" s="39"/>
      <c r="Q3" s="51"/>
    </row>
    <row r="4" spans="1:17" ht="14.25">
      <c r="A4" s="36"/>
      <c r="B4" s="39"/>
      <c r="C4" s="109"/>
      <c r="D4" s="43"/>
      <c r="E4" s="124"/>
      <c r="F4" s="125"/>
      <c r="G4" s="125"/>
      <c r="H4" s="125"/>
      <c r="I4" s="125"/>
      <c r="J4" s="106"/>
      <c r="K4" s="39"/>
      <c r="L4" s="148" t="str">
        <f>IF(ISERROR(B1.DEPLOYMENT),"–",B1.DEPLOYMENT)</f>
        <v>0–0–0–0</v>
      </c>
      <c r="M4" s="149"/>
      <c r="N4" s="149"/>
      <c r="O4" s="150"/>
      <c r="P4" s="39"/>
      <c r="Q4" s="51"/>
    </row>
    <row r="5" spans="1:17" ht="14.25">
      <c r="A5" s="36"/>
      <c r="B5" s="39"/>
      <c r="C5" s="45" t="s">
        <v>67</v>
      </c>
      <c r="D5" s="42"/>
      <c r="E5" s="128" t="s">
        <v>77</v>
      </c>
      <c r="F5" s="129"/>
      <c r="G5" s="129"/>
      <c r="H5" s="129"/>
      <c r="I5" s="129" t="s">
        <v>78</v>
      </c>
      <c r="J5" s="130"/>
      <c r="K5" s="39"/>
      <c r="L5" s="128" t="s">
        <v>82</v>
      </c>
      <c r="M5" s="129"/>
      <c r="N5" s="129"/>
      <c r="O5" s="130"/>
      <c r="P5" s="39"/>
      <c r="Q5" s="51"/>
    </row>
    <row r="6" spans="1:17" ht="14.25">
      <c r="A6" s="36"/>
      <c r="B6" s="39"/>
      <c r="C6" s="109"/>
      <c r="D6" s="43"/>
      <c r="E6" s="124"/>
      <c r="F6" s="125"/>
      <c r="G6" s="125"/>
      <c r="H6" s="125"/>
      <c r="I6" s="125"/>
      <c r="J6" s="134"/>
      <c r="K6" s="39"/>
      <c r="L6" s="116" t="str">
        <f>IF(ISERROR(B1.PBI),"–",IF(B1.PBI&lt;=0,0,B1.PBI))</f>
        <v>–</v>
      </c>
      <c r="M6" s="117"/>
      <c r="N6" s="117"/>
      <c r="O6" s="118"/>
      <c r="P6" s="39"/>
      <c r="Q6" s="51"/>
    </row>
    <row r="7" spans="1:17" ht="14.25">
      <c r="A7" s="36"/>
      <c r="B7" s="39"/>
      <c r="C7" s="45" t="s">
        <v>68</v>
      </c>
      <c r="D7" s="42"/>
      <c r="E7" s="128" t="s">
        <v>79</v>
      </c>
      <c r="F7" s="129"/>
      <c r="G7" s="129"/>
      <c r="H7" s="129"/>
      <c r="I7" s="129"/>
      <c r="J7" s="130"/>
      <c r="K7" s="39"/>
      <c r="L7" s="128" t="s">
        <v>148</v>
      </c>
      <c r="M7" s="129"/>
      <c r="N7" s="129"/>
      <c r="O7" s="130"/>
      <c r="P7" s="39"/>
      <c r="Q7" s="51"/>
    </row>
    <row r="8" spans="1:17" ht="15" thickBot="1">
      <c r="A8" s="36"/>
      <c r="B8" s="39"/>
      <c r="C8" s="109"/>
      <c r="D8" s="43"/>
      <c r="E8" s="138"/>
      <c r="F8" s="139"/>
      <c r="G8" s="140"/>
      <c r="H8" s="139"/>
      <c r="I8" s="140"/>
      <c r="J8" s="141"/>
      <c r="K8" s="39"/>
      <c r="L8" s="131">
        <f>IF(ISERROR(B1.BREAKPOINT),"–",IF(B1.BREAKPOINT&lt;=0,"",B1.BREAKPOINT))</f>
      </c>
      <c r="M8" s="132"/>
      <c r="N8" s="132"/>
      <c r="O8" s="133"/>
      <c r="P8" s="39"/>
      <c r="Q8" s="51"/>
    </row>
    <row r="9" spans="1:17" ht="14.25">
      <c r="A9" s="36"/>
      <c r="B9" s="39"/>
      <c r="C9" s="45" t="s">
        <v>66</v>
      </c>
      <c r="D9" s="42"/>
      <c r="E9" s="128" t="s">
        <v>80</v>
      </c>
      <c r="F9" s="129"/>
      <c r="G9" s="129"/>
      <c r="H9" s="129"/>
      <c r="I9" s="129"/>
      <c r="J9" s="130"/>
      <c r="K9" s="39"/>
      <c r="L9" s="128" t="s">
        <v>149</v>
      </c>
      <c r="M9" s="129"/>
      <c r="N9" s="129"/>
      <c r="O9" s="130"/>
      <c r="P9" s="39"/>
      <c r="Q9" s="51"/>
    </row>
    <row r="10" spans="1:17" ht="15" thickBot="1">
      <c r="A10" s="36"/>
      <c r="B10" s="39"/>
      <c r="C10" s="110"/>
      <c r="D10" s="43"/>
      <c r="E10" s="135"/>
      <c r="F10" s="136"/>
      <c r="G10" s="136"/>
      <c r="H10" s="136"/>
      <c r="I10" s="136"/>
      <c r="J10" s="137"/>
      <c r="K10" s="39"/>
      <c r="L10" s="131">
        <f>IF(ISERROR(B1.BGS),"–",B1.BGS)</f>
        <v>0</v>
      </c>
      <c r="M10" s="132"/>
      <c r="N10" s="132"/>
      <c r="O10" s="133"/>
      <c r="P10" s="39"/>
      <c r="Q10" s="51"/>
    </row>
    <row r="11" spans="1:17" ht="2.25" customHeight="1" thickBot="1">
      <c r="A11" s="36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51"/>
    </row>
    <row r="12" spans="1:17" ht="15" thickBot="1">
      <c r="A12" s="36"/>
      <c r="B12" s="119" t="s">
        <v>83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  <c r="Q12" s="51"/>
    </row>
    <row r="13" spans="1:17" ht="1.5" customHeight="1" thickBot="1">
      <c r="A13" s="36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1"/>
    </row>
    <row r="14" spans="1:17" ht="14.25">
      <c r="A14" s="36"/>
      <c r="B14" s="39"/>
      <c r="C14" s="46" t="s">
        <v>85</v>
      </c>
      <c r="D14" s="39"/>
      <c r="E14" s="122" t="s">
        <v>90</v>
      </c>
      <c r="F14" s="123"/>
      <c r="G14" s="126" t="s">
        <v>139</v>
      </c>
      <c r="H14" s="127"/>
      <c r="I14" s="50" t="s">
        <v>89</v>
      </c>
      <c r="J14" s="50" t="s">
        <v>88</v>
      </c>
      <c r="K14" s="47" t="s">
        <v>87</v>
      </c>
      <c r="M14" s="142" t="s">
        <v>84</v>
      </c>
      <c r="N14" s="143"/>
      <c r="O14" s="144"/>
      <c r="Q14" s="51"/>
    </row>
    <row r="15" spans="1:17" ht="14.25">
      <c r="A15" s="36"/>
      <c r="B15" s="39"/>
      <c r="C15" s="111" t="s">
        <v>133</v>
      </c>
      <c r="D15" s="39"/>
      <c r="E15" s="163"/>
      <c r="F15" s="113"/>
      <c r="G15" s="165"/>
      <c r="H15" s="166"/>
      <c r="I15" s="55" t="s">
        <v>91</v>
      </c>
      <c r="J15" s="55">
        <v>1</v>
      </c>
      <c r="K15" s="107" t="str">
        <f>IF(ISERROR('Basis 1'!$AE13),"–",IF('Basis 1'!$AE13&lt;=0,"",'Basis 1'!$AE13))</f>
        <v>–</v>
      </c>
      <c r="M15" s="154" t="str">
        <f>IF(ISERROR(B1.TOTAL),"–",IF(B1.TOTAL&lt;=0,"",B1.TOTAL))</f>
        <v>–</v>
      </c>
      <c r="N15" s="155"/>
      <c r="O15" s="156"/>
      <c r="Q15" s="51"/>
    </row>
    <row r="16" spans="1:17" ht="14.25">
      <c r="A16" s="36"/>
      <c r="B16" s="39"/>
      <c r="C16" s="46" t="s">
        <v>86</v>
      </c>
      <c r="D16" s="39"/>
      <c r="E16" s="163"/>
      <c r="F16" s="113"/>
      <c r="G16" s="112"/>
      <c r="H16" s="113"/>
      <c r="I16" s="97"/>
      <c r="J16" s="98"/>
      <c r="K16" s="107">
        <f>IF(ISERROR('Basis 1'!$AE14),"–",IF('Basis 1'!$AE14&lt;=0,"",'Basis 1'!$AE14))</f>
      </c>
      <c r="M16" s="157"/>
      <c r="N16" s="158"/>
      <c r="O16" s="159"/>
      <c r="Q16" s="51"/>
    </row>
    <row r="17" spans="1:17" ht="14.25">
      <c r="A17" s="36"/>
      <c r="B17" s="39"/>
      <c r="C17" s="111"/>
      <c r="D17" s="39"/>
      <c r="E17" s="163"/>
      <c r="F17" s="113"/>
      <c r="G17" s="112"/>
      <c r="H17" s="113"/>
      <c r="I17" s="97"/>
      <c r="J17" s="98"/>
      <c r="K17" s="107">
        <f>IF(ISERROR('Basis 1'!$AE15),"–",IF('Basis 1'!$AE15&lt;=0,"",'Basis 1'!$AE15))</f>
      </c>
      <c r="M17" s="157"/>
      <c r="N17" s="158"/>
      <c r="O17" s="159"/>
      <c r="Q17" s="51"/>
    </row>
    <row r="18" spans="1:17" ht="15" thickBot="1">
      <c r="A18" s="36"/>
      <c r="B18" s="39"/>
      <c r="C18" s="46" t="s">
        <v>130</v>
      </c>
      <c r="D18" s="39"/>
      <c r="E18" s="164"/>
      <c r="F18" s="115"/>
      <c r="G18" s="114"/>
      <c r="H18" s="115"/>
      <c r="I18" s="99"/>
      <c r="J18" s="100"/>
      <c r="K18" s="108">
        <f>IF(ISERROR('Basis 1'!$AE16),"–",IF('Basis 1'!$AE16&lt;=0,"",'Basis 1'!$AE16))</f>
      </c>
      <c r="M18" s="160"/>
      <c r="N18" s="161"/>
      <c r="O18" s="162"/>
      <c r="Q18" s="51"/>
    </row>
    <row r="19" spans="1:17" ht="14.25">
      <c r="A19" s="36"/>
      <c r="B19" s="39"/>
      <c r="C19" s="11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0"/>
      <c r="P19" s="40"/>
      <c r="Q19" s="51"/>
    </row>
    <row r="20" spans="1:17" ht="2.25" customHeight="1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0"/>
      <c r="P20" s="40"/>
      <c r="Q20" s="37"/>
    </row>
    <row r="21" spans="1:17" ht="14.25" customHeight="1">
      <c r="A21" s="36"/>
      <c r="B21" s="153" t="s">
        <v>9</v>
      </c>
      <c r="C21" s="153" t="s">
        <v>1</v>
      </c>
      <c r="D21" s="153" t="s">
        <v>5</v>
      </c>
      <c r="E21" s="153"/>
      <c r="F21" s="153"/>
      <c r="G21" s="153" t="s">
        <v>6</v>
      </c>
      <c r="H21" s="153"/>
      <c r="I21" s="153"/>
      <c r="J21" s="153"/>
      <c r="K21" s="153"/>
      <c r="L21" s="153" t="s">
        <v>7</v>
      </c>
      <c r="M21" s="153"/>
      <c r="N21" s="153"/>
      <c r="O21" s="151" t="s">
        <v>8</v>
      </c>
      <c r="P21" s="152"/>
      <c r="Q21" s="35"/>
    </row>
    <row r="22" spans="1:17" ht="27" customHeight="1">
      <c r="A22" s="36"/>
      <c r="B22" s="153"/>
      <c r="C22" s="153"/>
      <c r="D22" s="38" t="s">
        <v>0</v>
      </c>
      <c r="E22" s="38" t="s">
        <v>2</v>
      </c>
      <c r="F22" s="38" t="s">
        <v>3</v>
      </c>
      <c r="G22" s="38" t="s">
        <v>10</v>
      </c>
      <c r="H22" s="38" t="s">
        <v>38</v>
      </c>
      <c r="I22" s="38" t="s">
        <v>39</v>
      </c>
      <c r="J22" s="151" t="s">
        <v>51</v>
      </c>
      <c r="K22" s="152"/>
      <c r="L22" s="38" t="s">
        <v>69</v>
      </c>
      <c r="M22" s="38" t="s">
        <v>70</v>
      </c>
      <c r="N22" s="38" t="s">
        <v>13</v>
      </c>
      <c r="O22" s="38" t="s">
        <v>4</v>
      </c>
      <c r="P22" s="38" t="s">
        <v>71</v>
      </c>
      <c r="Q22" s="35"/>
    </row>
    <row r="23" spans="1:17" ht="19.5" customHeight="1">
      <c r="A23" s="36"/>
      <c r="B23" s="101"/>
      <c r="C23" s="105"/>
      <c r="D23" s="102" t="s">
        <v>55</v>
      </c>
      <c r="E23" s="102" t="s">
        <v>55</v>
      </c>
      <c r="F23" s="102" t="s">
        <v>55</v>
      </c>
      <c r="G23" s="102" t="s">
        <v>55</v>
      </c>
      <c r="H23" s="102" t="s">
        <v>55</v>
      </c>
      <c r="I23" s="102" t="s">
        <v>55</v>
      </c>
      <c r="J23" s="102" t="s">
        <v>55</v>
      </c>
      <c r="K23" s="102" t="s">
        <v>55</v>
      </c>
      <c r="L23" s="103"/>
      <c r="M23" s="54">
        <f>IF(ISERROR('Basis 1'!$U19),"–",'Basis 1'!$U19)</f>
        <v>0</v>
      </c>
      <c r="N23" s="53">
        <f>IF(ISERROR('Basis 1'!$X19),"–",'Basis 1'!$X19)</f>
        <v>0</v>
      </c>
      <c r="O23" s="54" t="str">
        <f>'Basis 1'!$AA19</f>
        <v>–</v>
      </c>
      <c r="P23" s="54" t="str">
        <f>'Basis 1'!$AD19</f>
        <v>–</v>
      </c>
      <c r="Q23" s="37"/>
    </row>
    <row r="24" spans="1:17" ht="19.5" customHeight="1">
      <c r="A24" s="36"/>
      <c r="B24" s="101"/>
      <c r="C24" s="105"/>
      <c r="D24" s="102" t="s">
        <v>55</v>
      </c>
      <c r="E24" s="102" t="s">
        <v>55</v>
      </c>
      <c r="F24" s="102" t="s">
        <v>55</v>
      </c>
      <c r="G24" s="102" t="s">
        <v>55</v>
      </c>
      <c r="H24" s="102" t="s">
        <v>55</v>
      </c>
      <c r="I24" s="102" t="s">
        <v>55</v>
      </c>
      <c r="J24" s="102" t="s">
        <v>55</v>
      </c>
      <c r="K24" s="102" t="s">
        <v>55</v>
      </c>
      <c r="L24" s="103"/>
      <c r="M24" s="54">
        <f>IF(ISERROR('Basis 1'!$U20),"–",'Basis 1'!$U20)</f>
        <v>0</v>
      </c>
      <c r="N24" s="53">
        <f>IF(ISERROR('Basis 1'!$X20),"–",'Basis 1'!$X20)</f>
        <v>0</v>
      </c>
      <c r="O24" s="54" t="str">
        <f>'Basis 1'!$AA20</f>
        <v>–</v>
      </c>
      <c r="P24" s="54" t="str">
        <f>'Basis 1'!$AD20</f>
        <v>–</v>
      </c>
      <c r="Q24" s="37"/>
    </row>
    <row r="25" spans="1:17" ht="19.5" customHeight="1">
      <c r="A25" s="36"/>
      <c r="B25" s="101"/>
      <c r="C25" s="105"/>
      <c r="D25" s="102" t="s">
        <v>55</v>
      </c>
      <c r="E25" s="102" t="s">
        <v>55</v>
      </c>
      <c r="F25" s="102" t="s">
        <v>55</v>
      </c>
      <c r="G25" s="102" t="s">
        <v>55</v>
      </c>
      <c r="H25" s="102" t="s">
        <v>55</v>
      </c>
      <c r="I25" s="102" t="s">
        <v>55</v>
      </c>
      <c r="J25" s="102" t="s">
        <v>55</v>
      </c>
      <c r="K25" s="102" t="s">
        <v>55</v>
      </c>
      <c r="L25" s="103"/>
      <c r="M25" s="54">
        <f>IF(ISERROR('Basis 1'!$U21),"–",'Basis 1'!$U21)</f>
        <v>0</v>
      </c>
      <c r="N25" s="53">
        <f>IF(ISERROR('Basis 1'!$X21),"–",'Basis 1'!$X21)</f>
        <v>0</v>
      </c>
      <c r="O25" s="54" t="str">
        <f>'Basis 1'!$AA21</f>
        <v>–</v>
      </c>
      <c r="P25" s="54" t="str">
        <f>'Basis 1'!$AD21</f>
        <v>–</v>
      </c>
      <c r="Q25" s="37"/>
    </row>
    <row r="26" spans="1:17" ht="19.5" customHeight="1">
      <c r="A26" s="36"/>
      <c r="B26" s="101"/>
      <c r="C26" s="105"/>
      <c r="D26" s="102" t="s">
        <v>55</v>
      </c>
      <c r="E26" s="102" t="s">
        <v>55</v>
      </c>
      <c r="F26" s="102" t="s">
        <v>55</v>
      </c>
      <c r="G26" s="102" t="s">
        <v>55</v>
      </c>
      <c r="H26" s="102" t="s">
        <v>55</v>
      </c>
      <c r="I26" s="102" t="s">
        <v>55</v>
      </c>
      <c r="J26" s="102" t="s">
        <v>55</v>
      </c>
      <c r="K26" s="102" t="s">
        <v>55</v>
      </c>
      <c r="L26" s="103"/>
      <c r="M26" s="54">
        <f>IF(ISERROR('Basis 1'!$U22),"–",'Basis 1'!$U22)</f>
        <v>0</v>
      </c>
      <c r="N26" s="53">
        <f>IF(ISERROR('Basis 1'!$X22),"–",'Basis 1'!$X22)</f>
        <v>0</v>
      </c>
      <c r="O26" s="54" t="str">
        <f>'Basis 1'!$AA22</f>
        <v>–</v>
      </c>
      <c r="P26" s="54" t="str">
        <f>'Basis 1'!$AD22</f>
        <v>–</v>
      </c>
      <c r="Q26" s="37"/>
    </row>
    <row r="27" spans="1:17" ht="19.5" customHeight="1">
      <c r="A27" s="36"/>
      <c r="B27" s="101"/>
      <c r="C27" s="105"/>
      <c r="D27" s="102" t="s">
        <v>55</v>
      </c>
      <c r="E27" s="102" t="s">
        <v>55</v>
      </c>
      <c r="F27" s="102" t="s">
        <v>55</v>
      </c>
      <c r="G27" s="102" t="s">
        <v>55</v>
      </c>
      <c r="H27" s="102" t="s">
        <v>55</v>
      </c>
      <c r="I27" s="102" t="s">
        <v>55</v>
      </c>
      <c r="J27" s="102" t="s">
        <v>55</v>
      </c>
      <c r="K27" s="102" t="s">
        <v>55</v>
      </c>
      <c r="L27" s="103"/>
      <c r="M27" s="54">
        <f>IF(ISERROR('Basis 1'!$U23),"–",'Basis 1'!$U23)</f>
        <v>0</v>
      </c>
      <c r="N27" s="53">
        <f>IF(ISERROR('Basis 1'!$X23),"–",'Basis 1'!$X23)</f>
        <v>0</v>
      </c>
      <c r="O27" s="54" t="str">
        <f>'Basis 1'!$AA23</f>
        <v>–</v>
      </c>
      <c r="P27" s="54" t="str">
        <f>'Basis 1'!$AD23</f>
        <v>–</v>
      </c>
      <c r="Q27" s="37"/>
    </row>
    <row r="28" spans="1:17" ht="19.5" customHeight="1">
      <c r="A28" s="36"/>
      <c r="B28" s="101"/>
      <c r="C28" s="105"/>
      <c r="D28" s="102" t="s">
        <v>55</v>
      </c>
      <c r="E28" s="102" t="s">
        <v>55</v>
      </c>
      <c r="F28" s="102" t="s">
        <v>55</v>
      </c>
      <c r="G28" s="102" t="s">
        <v>55</v>
      </c>
      <c r="H28" s="102" t="s">
        <v>55</v>
      </c>
      <c r="I28" s="102" t="s">
        <v>55</v>
      </c>
      <c r="J28" s="102" t="s">
        <v>55</v>
      </c>
      <c r="K28" s="102" t="s">
        <v>55</v>
      </c>
      <c r="L28" s="103"/>
      <c r="M28" s="54">
        <f>IF(ISERROR('Basis 1'!$U24),"–",'Basis 1'!$U24)</f>
        <v>0</v>
      </c>
      <c r="N28" s="53">
        <f>IF(ISERROR('Basis 1'!$X24),"–",'Basis 1'!$X24)</f>
        <v>0</v>
      </c>
      <c r="O28" s="54" t="str">
        <f>'Basis 1'!$AA24</f>
        <v>–</v>
      </c>
      <c r="P28" s="54" t="str">
        <f>'Basis 1'!$AD24</f>
        <v>–</v>
      </c>
      <c r="Q28" s="37"/>
    </row>
    <row r="29" spans="1:17" ht="19.5" customHeight="1">
      <c r="A29" s="36"/>
      <c r="B29" s="101"/>
      <c r="C29" s="105"/>
      <c r="D29" s="102" t="s">
        <v>55</v>
      </c>
      <c r="E29" s="102" t="s">
        <v>55</v>
      </c>
      <c r="F29" s="102" t="s">
        <v>55</v>
      </c>
      <c r="G29" s="102" t="s">
        <v>55</v>
      </c>
      <c r="H29" s="102" t="s">
        <v>55</v>
      </c>
      <c r="I29" s="102" t="s">
        <v>55</v>
      </c>
      <c r="J29" s="102" t="s">
        <v>55</v>
      </c>
      <c r="K29" s="102" t="s">
        <v>55</v>
      </c>
      <c r="L29" s="103"/>
      <c r="M29" s="54">
        <f>IF(ISERROR('Basis 1'!$U25),"–",'Basis 1'!$U25)</f>
        <v>0</v>
      </c>
      <c r="N29" s="53">
        <f>IF(ISERROR('Basis 1'!$X25),"–",'Basis 1'!$X25)</f>
        <v>0</v>
      </c>
      <c r="O29" s="54" t="str">
        <f>'Basis 1'!$AA25</f>
        <v>–</v>
      </c>
      <c r="P29" s="54" t="str">
        <f>'Basis 1'!$AD25</f>
        <v>–</v>
      </c>
      <c r="Q29" s="37"/>
    </row>
    <row r="30" spans="1:17" ht="19.5" customHeight="1">
      <c r="A30" s="36"/>
      <c r="B30" s="101"/>
      <c r="C30" s="105"/>
      <c r="D30" s="102" t="s">
        <v>55</v>
      </c>
      <c r="E30" s="102" t="s">
        <v>55</v>
      </c>
      <c r="F30" s="102" t="s">
        <v>55</v>
      </c>
      <c r="G30" s="102" t="s">
        <v>55</v>
      </c>
      <c r="H30" s="102" t="s">
        <v>55</v>
      </c>
      <c r="I30" s="102" t="s">
        <v>55</v>
      </c>
      <c r="J30" s="102" t="s">
        <v>55</v>
      </c>
      <c r="K30" s="102" t="s">
        <v>55</v>
      </c>
      <c r="L30" s="103"/>
      <c r="M30" s="54">
        <f>IF(ISERROR('Basis 1'!$U26),"–",'Basis 1'!$U26)</f>
        <v>0</v>
      </c>
      <c r="N30" s="53">
        <f>IF(ISERROR('Basis 1'!$X26),"–",'Basis 1'!$X26)</f>
        <v>0</v>
      </c>
      <c r="O30" s="54" t="str">
        <f>'Basis 1'!$AA26</f>
        <v>–</v>
      </c>
      <c r="P30" s="54" t="str">
        <f>'Basis 1'!$AD26</f>
        <v>–</v>
      </c>
      <c r="Q30" s="37"/>
    </row>
    <row r="31" spans="1:17" ht="19.5" customHeight="1">
      <c r="A31" s="36"/>
      <c r="B31" s="101"/>
      <c r="C31" s="105"/>
      <c r="D31" s="102" t="s">
        <v>55</v>
      </c>
      <c r="E31" s="102" t="s">
        <v>55</v>
      </c>
      <c r="F31" s="102" t="s">
        <v>55</v>
      </c>
      <c r="G31" s="102" t="s">
        <v>55</v>
      </c>
      <c r="H31" s="102" t="s">
        <v>55</v>
      </c>
      <c r="I31" s="102" t="s">
        <v>55</v>
      </c>
      <c r="J31" s="102" t="s">
        <v>55</v>
      </c>
      <c r="K31" s="102" t="s">
        <v>55</v>
      </c>
      <c r="L31" s="103"/>
      <c r="M31" s="54">
        <f>IF(ISERROR('Basis 1'!$U27),"–",'Basis 1'!$U27)</f>
        <v>0</v>
      </c>
      <c r="N31" s="53">
        <f>IF(ISERROR('Basis 1'!$X27),"–",'Basis 1'!$X27)</f>
        <v>0</v>
      </c>
      <c r="O31" s="54" t="str">
        <f>'Basis 1'!$AA27</f>
        <v>–</v>
      </c>
      <c r="P31" s="54" t="str">
        <f>'Basis 1'!$AD27</f>
        <v>–</v>
      </c>
      <c r="Q31" s="37"/>
    </row>
    <row r="32" spans="1:17" ht="19.5" customHeight="1">
      <c r="A32" s="36"/>
      <c r="B32" s="101"/>
      <c r="C32" s="105"/>
      <c r="D32" s="102" t="s">
        <v>55</v>
      </c>
      <c r="E32" s="102" t="s">
        <v>55</v>
      </c>
      <c r="F32" s="102" t="s">
        <v>55</v>
      </c>
      <c r="G32" s="102" t="s">
        <v>55</v>
      </c>
      <c r="H32" s="102" t="s">
        <v>55</v>
      </c>
      <c r="I32" s="102" t="s">
        <v>55</v>
      </c>
      <c r="J32" s="102" t="s">
        <v>55</v>
      </c>
      <c r="K32" s="102" t="s">
        <v>55</v>
      </c>
      <c r="L32" s="103"/>
      <c r="M32" s="54">
        <f>IF(ISERROR('Basis 1'!$U28),"–",'Basis 1'!$U28)</f>
        <v>0</v>
      </c>
      <c r="N32" s="53">
        <f>IF(ISERROR('Basis 1'!$X28),"–",'Basis 1'!$X28)</f>
        <v>0</v>
      </c>
      <c r="O32" s="54" t="str">
        <f>'Basis 1'!$AA28</f>
        <v>–</v>
      </c>
      <c r="P32" s="54" t="str">
        <f>'Basis 1'!$AD28</f>
        <v>–</v>
      </c>
      <c r="Q32" s="37"/>
    </row>
    <row r="33" spans="1:17" ht="19.5" customHeight="1">
      <c r="A33" s="36"/>
      <c r="B33" s="101"/>
      <c r="C33" s="105"/>
      <c r="D33" s="102" t="s">
        <v>55</v>
      </c>
      <c r="E33" s="102" t="s">
        <v>55</v>
      </c>
      <c r="F33" s="102" t="s">
        <v>55</v>
      </c>
      <c r="G33" s="102" t="s">
        <v>55</v>
      </c>
      <c r="H33" s="102" t="s">
        <v>55</v>
      </c>
      <c r="I33" s="102" t="s">
        <v>55</v>
      </c>
      <c r="J33" s="102" t="s">
        <v>55</v>
      </c>
      <c r="K33" s="102" t="s">
        <v>55</v>
      </c>
      <c r="L33" s="103"/>
      <c r="M33" s="54">
        <f>IF(ISERROR('Basis 1'!$U29),"–",'Basis 1'!$U29)</f>
        <v>0</v>
      </c>
      <c r="N33" s="53">
        <f>IF(ISERROR('Basis 1'!$X29),"–",'Basis 1'!$X29)</f>
        <v>0</v>
      </c>
      <c r="O33" s="54" t="str">
        <f>'Basis 1'!$AA29</f>
        <v>–</v>
      </c>
      <c r="P33" s="54" t="str">
        <f>'Basis 1'!$AD29</f>
        <v>–</v>
      </c>
      <c r="Q33" s="37"/>
    </row>
    <row r="34" spans="1:17" ht="19.5" customHeight="1">
      <c r="A34" s="36"/>
      <c r="B34" s="101"/>
      <c r="C34" s="105"/>
      <c r="D34" s="102" t="s">
        <v>55</v>
      </c>
      <c r="E34" s="102" t="s">
        <v>55</v>
      </c>
      <c r="F34" s="102" t="s">
        <v>55</v>
      </c>
      <c r="G34" s="102" t="s">
        <v>55</v>
      </c>
      <c r="H34" s="102" t="s">
        <v>55</v>
      </c>
      <c r="I34" s="102" t="s">
        <v>55</v>
      </c>
      <c r="J34" s="102" t="s">
        <v>55</v>
      </c>
      <c r="K34" s="102" t="s">
        <v>55</v>
      </c>
      <c r="L34" s="103"/>
      <c r="M34" s="54">
        <f>IF(ISERROR('Basis 1'!$U30),"–",'Basis 1'!$U30)</f>
        <v>0</v>
      </c>
      <c r="N34" s="53">
        <f>IF(ISERROR('Basis 1'!$X30),"–",'Basis 1'!$X30)</f>
        <v>0</v>
      </c>
      <c r="O34" s="54" t="str">
        <f>'Basis 1'!$AA30</f>
        <v>–</v>
      </c>
      <c r="P34" s="54" t="str">
        <f>'Basis 1'!$AD30</f>
        <v>–</v>
      </c>
      <c r="Q34" s="37"/>
    </row>
    <row r="35" spans="1:17" ht="19.5" customHeight="1">
      <c r="A35" s="36"/>
      <c r="B35" s="101"/>
      <c r="C35" s="105"/>
      <c r="D35" s="102" t="s">
        <v>55</v>
      </c>
      <c r="E35" s="102" t="s">
        <v>55</v>
      </c>
      <c r="F35" s="102" t="s">
        <v>55</v>
      </c>
      <c r="G35" s="102" t="s">
        <v>55</v>
      </c>
      <c r="H35" s="102" t="s">
        <v>55</v>
      </c>
      <c r="I35" s="102" t="s">
        <v>55</v>
      </c>
      <c r="J35" s="102" t="s">
        <v>55</v>
      </c>
      <c r="K35" s="102" t="s">
        <v>55</v>
      </c>
      <c r="L35" s="103"/>
      <c r="M35" s="54">
        <f>IF(ISERROR('Basis 1'!$U31),"–",'Basis 1'!$U31)</f>
        <v>0</v>
      </c>
      <c r="N35" s="53">
        <f>IF(ISERROR('Basis 1'!$X31),"–",'Basis 1'!$X31)</f>
        <v>0</v>
      </c>
      <c r="O35" s="54" t="str">
        <f>'Basis 1'!$AA31</f>
        <v>–</v>
      </c>
      <c r="P35" s="54" t="str">
        <f>'Basis 1'!$AD31</f>
        <v>–</v>
      </c>
      <c r="Q35" s="37"/>
    </row>
    <row r="36" spans="1:17" ht="19.5" customHeight="1">
      <c r="A36" s="36"/>
      <c r="B36" s="101"/>
      <c r="C36" s="105"/>
      <c r="D36" s="102" t="s">
        <v>55</v>
      </c>
      <c r="E36" s="102" t="s">
        <v>55</v>
      </c>
      <c r="F36" s="102" t="s">
        <v>55</v>
      </c>
      <c r="G36" s="102" t="s">
        <v>55</v>
      </c>
      <c r="H36" s="102" t="s">
        <v>55</v>
      </c>
      <c r="I36" s="102" t="s">
        <v>55</v>
      </c>
      <c r="J36" s="102" t="s">
        <v>55</v>
      </c>
      <c r="K36" s="102" t="s">
        <v>55</v>
      </c>
      <c r="L36" s="103"/>
      <c r="M36" s="54">
        <f>IF(ISERROR('Basis 1'!$U32),"–",'Basis 1'!$U32)</f>
        <v>0</v>
      </c>
      <c r="N36" s="53">
        <f>IF(ISERROR('Basis 1'!$X32),"–",'Basis 1'!$X32)</f>
        <v>0</v>
      </c>
      <c r="O36" s="54" t="str">
        <f>'Basis 1'!$AA32</f>
        <v>–</v>
      </c>
      <c r="P36" s="54" t="str">
        <f>'Basis 1'!$AD32</f>
        <v>–</v>
      </c>
      <c r="Q36" s="37"/>
    </row>
    <row r="37" spans="1:17" ht="19.5" customHeight="1">
      <c r="A37" s="36"/>
      <c r="B37" s="101"/>
      <c r="C37" s="105"/>
      <c r="D37" s="102" t="s">
        <v>55</v>
      </c>
      <c r="E37" s="102" t="s">
        <v>55</v>
      </c>
      <c r="F37" s="102" t="s">
        <v>55</v>
      </c>
      <c r="G37" s="102" t="s">
        <v>55</v>
      </c>
      <c r="H37" s="102" t="s">
        <v>55</v>
      </c>
      <c r="I37" s="102" t="s">
        <v>55</v>
      </c>
      <c r="J37" s="102" t="s">
        <v>55</v>
      </c>
      <c r="K37" s="102" t="s">
        <v>55</v>
      </c>
      <c r="L37" s="103"/>
      <c r="M37" s="54">
        <f>IF(ISERROR('Basis 1'!$U33),"–",'Basis 1'!$U33)</f>
        <v>0</v>
      </c>
      <c r="N37" s="53">
        <f>IF(ISERROR('Basis 1'!$X33),"–",'Basis 1'!$X33)</f>
        <v>0</v>
      </c>
      <c r="O37" s="54" t="str">
        <f>'Basis 1'!$AA33</f>
        <v>–</v>
      </c>
      <c r="P37" s="54" t="str">
        <f>'Basis 1'!$AD33</f>
        <v>–</v>
      </c>
      <c r="Q37" s="37"/>
    </row>
    <row r="38" spans="1:17" ht="19.5" customHeight="1">
      <c r="A38" s="36"/>
      <c r="B38" s="101"/>
      <c r="C38" s="105"/>
      <c r="D38" s="102" t="s">
        <v>55</v>
      </c>
      <c r="E38" s="102" t="s">
        <v>55</v>
      </c>
      <c r="F38" s="102" t="s">
        <v>55</v>
      </c>
      <c r="G38" s="102" t="s">
        <v>55</v>
      </c>
      <c r="H38" s="102" t="s">
        <v>55</v>
      </c>
      <c r="I38" s="102" t="s">
        <v>55</v>
      </c>
      <c r="J38" s="102" t="s">
        <v>55</v>
      </c>
      <c r="K38" s="102" t="s">
        <v>55</v>
      </c>
      <c r="L38" s="103"/>
      <c r="M38" s="54">
        <f>IF(ISERROR('Basis 1'!$U34),"–",'Basis 1'!$U34)</f>
        <v>0</v>
      </c>
      <c r="N38" s="53">
        <f>IF(ISERROR('Basis 1'!$X34),"–",'Basis 1'!$X34)</f>
        <v>0</v>
      </c>
      <c r="O38" s="54" t="str">
        <f>'Basis 1'!$AA34</f>
        <v>–</v>
      </c>
      <c r="P38" s="54" t="str">
        <f>'Basis 1'!$AD34</f>
        <v>–</v>
      </c>
      <c r="Q38" s="37"/>
    </row>
    <row r="39" spans="1:17" ht="19.5" customHeight="1">
      <c r="A39" s="36"/>
      <c r="B39" s="101"/>
      <c r="C39" s="105"/>
      <c r="D39" s="102" t="s">
        <v>55</v>
      </c>
      <c r="E39" s="102" t="s">
        <v>55</v>
      </c>
      <c r="F39" s="102" t="s">
        <v>55</v>
      </c>
      <c r="G39" s="102" t="s">
        <v>55</v>
      </c>
      <c r="H39" s="102" t="s">
        <v>55</v>
      </c>
      <c r="I39" s="102" t="s">
        <v>55</v>
      </c>
      <c r="J39" s="102" t="s">
        <v>55</v>
      </c>
      <c r="K39" s="102" t="s">
        <v>55</v>
      </c>
      <c r="L39" s="103"/>
      <c r="M39" s="54">
        <f>IF(ISERROR('Basis 1'!$U35),"–",'Basis 1'!$U35)</f>
        <v>0</v>
      </c>
      <c r="N39" s="53">
        <f>IF(ISERROR('Basis 1'!$X35),"–",'Basis 1'!$X35)</f>
        <v>0</v>
      </c>
      <c r="O39" s="54" t="str">
        <f>'Basis 1'!$AA35</f>
        <v>–</v>
      </c>
      <c r="P39" s="54" t="str">
        <f>'Basis 1'!$AD35</f>
        <v>–</v>
      </c>
      <c r="Q39" s="37"/>
    </row>
    <row r="40" spans="1:17" ht="19.5" customHeight="1">
      <c r="A40" s="36"/>
      <c r="B40" s="101"/>
      <c r="C40" s="105"/>
      <c r="D40" s="102" t="s">
        <v>55</v>
      </c>
      <c r="E40" s="102" t="s">
        <v>55</v>
      </c>
      <c r="F40" s="102" t="s">
        <v>55</v>
      </c>
      <c r="G40" s="102" t="s">
        <v>55</v>
      </c>
      <c r="H40" s="102" t="s">
        <v>55</v>
      </c>
      <c r="I40" s="102" t="s">
        <v>55</v>
      </c>
      <c r="J40" s="102" t="s">
        <v>55</v>
      </c>
      <c r="K40" s="102" t="s">
        <v>55</v>
      </c>
      <c r="L40" s="103"/>
      <c r="M40" s="54">
        <f>IF(ISERROR('Basis 1'!$U36),"–",'Basis 1'!$U36)</f>
        <v>0</v>
      </c>
      <c r="N40" s="53">
        <f>IF(ISERROR('Basis 1'!$X36),"–",'Basis 1'!$X36)</f>
        <v>0</v>
      </c>
      <c r="O40" s="54" t="str">
        <f>'Basis 1'!$AA36</f>
        <v>–</v>
      </c>
      <c r="P40" s="54" t="str">
        <f>'Basis 1'!$AD36</f>
        <v>–</v>
      </c>
      <c r="Q40" s="37"/>
    </row>
    <row r="41" spans="1:17" ht="19.5" customHeight="1">
      <c r="A41" s="36"/>
      <c r="B41" s="101"/>
      <c r="C41" s="105"/>
      <c r="D41" s="102" t="s">
        <v>55</v>
      </c>
      <c r="E41" s="102" t="s">
        <v>55</v>
      </c>
      <c r="F41" s="102" t="s">
        <v>55</v>
      </c>
      <c r="G41" s="102" t="s">
        <v>55</v>
      </c>
      <c r="H41" s="102" t="s">
        <v>55</v>
      </c>
      <c r="I41" s="102" t="s">
        <v>55</v>
      </c>
      <c r="J41" s="102" t="s">
        <v>55</v>
      </c>
      <c r="K41" s="102" t="s">
        <v>55</v>
      </c>
      <c r="L41" s="103"/>
      <c r="M41" s="54">
        <f>IF(ISERROR('Basis 1'!$U37),"–",'Basis 1'!$U37)</f>
        <v>0</v>
      </c>
      <c r="N41" s="53">
        <f>IF(ISERROR('Basis 1'!$X37),"–",'Basis 1'!$X37)</f>
        <v>0</v>
      </c>
      <c r="O41" s="54" t="str">
        <f>'Basis 1'!$AA37</f>
        <v>–</v>
      </c>
      <c r="P41" s="54" t="str">
        <f>'Basis 1'!$AD37</f>
        <v>–</v>
      </c>
      <c r="Q41" s="37"/>
    </row>
    <row r="42" spans="1:17" ht="19.5" customHeight="1">
      <c r="A42" s="36"/>
      <c r="B42" s="101"/>
      <c r="C42" s="105"/>
      <c r="D42" s="102" t="s">
        <v>55</v>
      </c>
      <c r="E42" s="102" t="s">
        <v>55</v>
      </c>
      <c r="F42" s="102" t="s">
        <v>55</v>
      </c>
      <c r="G42" s="102" t="s">
        <v>55</v>
      </c>
      <c r="H42" s="102" t="s">
        <v>55</v>
      </c>
      <c r="I42" s="102" t="s">
        <v>55</v>
      </c>
      <c r="J42" s="102" t="s">
        <v>55</v>
      </c>
      <c r="K42" s="102" t="s">
        <v>55</v>
      </c>
      <c r="L42" s="103"/>
      <c r="M42" s="54">
        <f>IF(ISERROR('Basis 1'!$U38),"–",'Basis 1'!$U38)</f>
        <v>0</v>
      </c>
      <c r="N42" s="53">
        <f>IF(ISERROR('Basis 1'!$X38),"–",'Basis 1'!$X38)</f>
        <v>0</v>
      </c>
      <c r="O42" s="54" t="str">
        <f>'Basis 1'!$AA38</f>
        <v>–</v>
      </c>
      <c r="P42" s="54" t="str">
        <f>'Basis 1'!$AD38</f>
        <v>–</v>
      </c>
      <c r="Q42" s="37"/>
    </row>
    <row r="43" spans="1:17" ht="19.5" customHeight="1">
      <c r="A43" s="36"/>
      <c r="B43" s="101"/>
      <c r="C43" s="105"/>
      <c r="D43" s="102" t="s">
        <v>55</v>
      </c>
      <c r="E43" s="102" t="s">
        <v>55</v>
      </c>
      <c r="F43" s="102" t="s">
        <v>55</v>
      </c>
      <c r="G43" s="102" t="s">
        <v>55</v>
      </c>
      <c r="H43" s="102" t="s">
        <v>55</v>
      </c>
      <c r="I43" s="102" t="s">
        <v>55</v>
      </c>
      <c r="J43" s="102" t="s">
        <v>55</v>
      </c>
      <c r="K43" s="102" t="s">
        <v>55</v>
      </c>
      <c r="L43" s="103"/>
      <c r="M43" s="54">
        <f>IF(ISERROR('Basis 1'!$U39),"–",'Basis 1'!$U39)</f>
        <v>0</v>
      </c>
      <c r="N43" s="53">
        <f>IF(ISERROR('Basis 1'!$X39),"–",'Basis 1'!$X39)</f>
        <v>0</v>
      </c>
      <c r="O43" s="54" t="str">
        <f>'Basis 1'!$AA39</f>
        <v>–</v>
      </c>
      <c r="P43" s="54" t="str">
        <f>'Basis 1'!$AD39</f>
        <v>–</v>
      </c>
      <c r="Q43" s="37"/>
    </row>
    <row r="44" spans="1:17" ht="19.5" customHeight="1">
      <c r="A44" s="36"/>
      <c r="B44" s="101"/>
      <c r="C44" s="105"/>
      <c r="D44" s="102" t="s">
        <v>55</v>
      </c>
      <c r="E44" s="102" t="s">
        <v>55</v>
      </c>
      <c r="F44" s="102" t="s">
        <v>55</v>
      </c>
      <c r="G44" s="102" t="s">
        <v>55</v>
      </c>
      <c r="H44" s="102" t="s">
        <v>55</v>
      </c>
      <c r="I44" s="102" t="s">
        <v>55</v>
      </c>
      <c r="J44" s="102" t="s">
        <v>55</v>
      </c>
      <c r="K44" s="102" t="s">
        <v>55</v>
      </c>
      <c r="L44" s="103"/>
      <c r="M44" s="54">
        <f>IF(ISERROR('Basis 1'!$U40),"–",'Basis 1'!$U40)</f>
        <v>0</v>
      </c>
      <c r="N44" s="53">
        <f>IF(ISERROR('Basis 1'!$X40),"–",'Basis 1'!$X40)</f>
        <v>0</v>
      </c>
      <c r="O44" s="54" t="str">
        <f>'Basis 1'!$AA40</f>
        <v>–</v>
      </c>
      <c r="P44" s="54" t="str">
        <f>'Basis 1'!$AD40</f>
        <v>–</v>
      </c>
      <c r="Q44" s="37"/>
    </row>
    <row r="45" spans="1:17" ht="19.5" customHeight="1">
      <c r="A45" s="36"/>
      <c r="B45" s="101"/>
      <c r="C45" s="105"/>
      <c r="D45" s="102" t="s">
        <v>55</v>
      </c>
      <c r="E45" s="102" t="s">
        <v>55</v>
      </c>
      <c r="F45" s="102" t="s">
        <v>55</v>
      </c>
      <c r="G45" s="102" t="s">
        <v>55</v>
      </c>
      <c r="H45" s="102" t="s">
        <v>55</v>
      </c>
      <c r="I45" s="102" t="s">
        <v>55</v>
      </c>
      <c r="J45" s="102" t="s">
        <v>55</v>
      </c>
      <c r="K45" s="102" t="s">
        <v>55</v>
      </c>
      <c r="L45" s="103"/>
      <c r="M45" s="54">
        <f>IF(ISERROR('Basis 1'!$U41),"–",'Basis 1'!$U41)</f>
        <v>0</v>
      </c>
      <c r="N45" s="53">
        <f>IF(ISERROR('Basis 1'!$X41),"–",'Basis 1'!$X41)</f>
        <v>0</v>
      </c>
      <c r="O45" s="54" t="str">
        <f>'Basis 1'!$AA41</f>
        <v>–</v>
      </c>
      <c r="P45" s="54" t="str">
        <f>'Basis 1'!$AD41</f>
        <v>–</v>
      </c>
      <c r="Q45" s="37"/>
    </row>
    <row r="46" spans="1:17" ht="19.5" customHeight="1">
      <c r="A46" s="36"/>
      <c r="B46" s="101"/>
      <c r="C46" s="105"/>
      <c r="D46" s="102" t="s">
        <v>55</v>
      </c>
      <c r="E46" s="102" t="s">
        <v>55</v>
      </c>
      <c r="F46" s="102" t="s">
        <v>55</v>
      </c>
      <c r="G46" s="102" t="s">
        <v>55</v>
      </c>
      <c r="H46" s="102" t="s">
        <v>55</v>
      </c>
      <c r="I46" s="102" t="s">
        <v>55</v>
      </c>
      <c r="J46" s="102" t="s">
        <v>55</v>
      </c>
      <c r="K46" s="102" t="s">
        <v>55</v>
      </c>
      <c r="L46" s="103"/>
      <c r="M46" s="54">
        <f>IF(ISERROR('Basis 1'!$U42),"–",'Basis 1'!$U42)</f>
        <v>0</v>
      </c>
      <c r="N46" s="53">
        <f>IF(ISERROR('Basis 1'!$X42),"–",'Basis 1'!$X42)</f>
        <v>0</v>
      </c>
      <c r="O46" s="54" t="str">
        <f>'Basis 1'!$AA42</f>
        <v>–</v>
      </c>
      <c r="P46" s="54" t="str">
        <f>'Basis 1'!$AD42</f>
        <v>–</v>
      </c>
      <c r="Q46" s="37"/>
    </row>
    <row r="47" spans="1:17" ht="19.5" customHeight="1">
      <c r="A47" s="36"/>
      <c r="B47" s="101"/>
      <c r="C47" s="105"/>
      <c r="D47" s="102" t="s">
        <v>55</v>
      </c>
      <c r="E47" s="102" t="s">
        <v>55</v>
      </c>
      <c r="F47" s="102" t="s">
        <v>55</v>
      </c>
      <c r="G47" s="102" t="s">
        <v>55</v>
      </c>
      <c r="H47" s="102" t="s">
        <v>55</v>
      </c>
      <c r="I47" s="102" t="s">
        <v>55</v>
      </c>
      <c r="J47" s="102" t="s">
        <v>55</v>
      </c>
      <c r="K47" s="102" t="s">
        <v>55</v>
      </c>
      <c r="L47" s="103"/>
      <c r="M47" s="54">
        <f>IF(ISERROR('Basis 1'!$U43),"–",'Basis 1'!$U43)</f>
        <v>0</v>
      </c>
      <c r="N47" s="53">
        <f>IF(ISERROR('Basis 1'!$X43),"–",'Basis 1'!$X43)</f>
        <v>0</v>
      </c>
      <c r="O47" s="54" t="str">
        <f>'Basis 1'!$AA43</f>
        <v>–</v>
      </c>
      <c r="P47" s="54" t="str">
        <f>'Basis 1'!$AD43</f>
        <v>–</v>
      </c>
      <c r="Q47" s="37"/>
    </row>
    <row r="48" spans="1:17" ht="19.5" customHeight="1">
      <c r="A48" s="36"/>
      <c r="B48" s="101"/>
      <c r="C48" s="105"/>
      <c r="D48" s="102" t="s">
        <v>55</v>
      </c>
      <c r="E48" s="102" t="s">
        <v>55</v>
      </c>
      <c r="F48" s="102" t="s">
        <v>55</v>
      </c>
      <c r="G48" s="102" t="s">
        <v>55</v>
      </c>
      <c r="H48" s="102" t="s">
        <v>55</v>
      </c>
      <c r="I48" s="102" t="s">
        <v>55</v>
      </c>
      <c r="J48" s="102" t="s">
        <v>55</v>
      </c>
      <c r="K48" s="102" t="s">
        <v>55</v>
      </c>
      <c r="L48" s="103"/>
      <c r="M48" s="54">
        <f>IF(ISERROR('Basis 1'!$U44),"–",'Basis 1'!$U44)</f>
        <v>0</v>
      </c>
      <c r="N48" s="53">
        <f>IF(ISERROR('Basis 1'!$X44),"–",'Basis 1'!$X44)</f>
        <v>0</v>
      </c>
      <c r="O48" s="54" t="str">
        <f>'Basis 1'!$AA44</f>
        <v>–</v>
      </c>
      <c r="P48" s="54" t="str">
        <f>'Basis 1'!$AD44</f>
        <v>–</v>
      </c>
      <c r="Q48" s="37"/>
    </row>
    <row r="49" spans="1:17" ht="19.5" customHeight="1">
      <c r="A49" s="36"/>
      <c r="B49" s="101"/>
      <c r="C49" s="105"/>
      <c r="D49" s="102" t="s">
        <v>55</v>
      </c>
      <c r="E49" s="102" t="s">
        <v>55</v>
      </c>
      <c r="F49" s="102" t="s">
        <v>55</v>
      </c>
      <c r="G49" s="102" t="s">
        <v>55</v>
      </c>
      <c r="H49" s="102" t="s">
        <v>55</v>
      </c>
      <c r="I49" s="102" t="s">
        <v>55</v>
      </c>
      <c r="J49" s="102" t="s">
        <v>55</v>
      </c>
      <c r="K49" s="102" t="s">
        <v>55</v>
      </c>
      <c r="L49" s="103"/>
      <c r="M49" s="54">
        <f>IF(ISERROR('Basis 1'!$U45),"–",'Basis 1'!$U45)</f>
        <v>0</v>
      </c>
      <c r="N49" s="53">
        <f>IF(ISERROR('Basis 1'!$X45),"–",'Basis 1'!$X45)</f>
        <v>0</v>
      </c>
      <c r="O49" s="54" t="str">
        <f>'Basis 1'!$AA45</f>
        <v>–</v>
      </c>
      <c r="P49" s="54" t="str">
        <f>'Basis 1'!$AD45</f>
        <v>–</v>
      </c>
      <c r="Q49" s="37"/>
    </row>
    <row r="50" spans="1:17" ht="19.5" customHeight="1">
      <c r="A50" s="36"/>
      <c r="B50" s="101"/>
      <c r="C50" s="105"/>
      <c r="D50" s="102" t="s">
        <v>55</v>
      </c>
      <c r="E50" s="102" t="s">
        <v>55</v>
      </c>
      <c r="F50" s="102" t="s">
        <v>55</v>
      </c>
      <c r="G50" s="102" t="s">
        <v>55</v>
      </c>
      <c r="H50" s="102" t="s">
        <v>55</v>
      </c>
      <c r="I50" s="102" t="s">
        <v>55</v>
      </c>
      <c r="J50" s="102" t="s">
        <v>55</v>
      </c>
      <c r="K50" s="102" t="s">
        <v>55</v>
      </c>
      <c r="L50" s="103"/>
      <c r="M50" s="54">
        <f>IF(ISERROR('Basis 1'!$U46),"–",'Basis 1'!$U46)</f>
        <v>0</v>
      </c>
      <c r="N50" s="53">
        <f>IF(ISERROR('Basis 1'!$X46),"–",'Basis 1'!$X46)</f>
        <v>0</v>
      </c>
      <c r="O50" s="54" t="str">
        <f>'Basis 1'!$AA46</f>
        <v>–</v>
      </c>
      <c r="P50" s="54" t="str">
        <f>'Basis 1'!$AD46</f>
        <v>–</v>
      </c>
      <c r="Q50" s="37"/>
    </row>
    <row r="51" spans="1:17" ht="19.5" customHeight="1">
      <c r="A51" s="36"/>
      <c r="B51" s="101"/>
      <c r="C51" s="105"/>
      <c r="D51" s="102" t="s">
        <v>55</v>
      </c>
      <c r="E51" s="102" t="s">
        <v>55</v>
      </c>
      <c r="F51" s="102" t="s">
        <v>55</v>
      </c>
      <c r="G51" s="102" t="s">
        <v>55</v>
      </c>
      <c r="H51" s="102" t="s">
        <v>55</v>
      </c>
      <c r="I51" s="102" t="s">
        <v>55</v>
      </c>
      <c r="J51" s="102" t="s">
        <v>55</v>
      </c>
      <c r="K51" s="102" t="s">
        <v>55</v>
      </c>
      <c r="L51" s="103"/>
      <c r="M51" s="54">
        <f>IF(ISERROR('Basis 1'!$U47),"–",'Basis 1'!$U47)</f>
        <v>0</v>
      </c>
      <c r="N51" s="53">
        <f>IF(ISERROR('Basis 1'!$X47),"–",'Basis 1'!$X47)</f>
        <v>0</v>
      </c>
      <c r="O51" s="54" t="str">
        <f>'Basis 1'!$AA47</f>
        <v>–</v>
      </c>
      <c r="P51" s="54" t="str">
        <f>'Basis 1'!$AD47</f>
        <v>–</v>
      </c>
      <c r="Q51" s="37"/>
    </row>
    <row r="52" spans="1:17" ht="19.5" customHeight="1">
      <c r="A52" s="36"/>
      <c r="B52" s="101"/>
      <c r="C52" s="105"/>
      <c r="D52" s="102" t="s">
        <v>55</v>
      </c>
      <c r="E52" s="102" t="s">
        <v>55</v>
      </c>
      <c r="F52" s="102" t="s">
        <v>55</v>
      </c>
      <c r="G52" s="102" t="s">
        <v>55</v>
      </c>
      <c r="H52" s="102" t="s">
        <v>55</v>
      </c>
      <c r="I52" s="102" t="s">
        <v>55</v>
      </c>
      <c r="J52" s="102" t="s">
        <v>55</v>
      </c>
      <c r="K52" s="102" t="s">
        <v>55</v>
      </c>
      <c r="L52" s="103"/>
      <c r="M52" s="54">
        <f>IF(ISERROR('Basis 1'!$U48),"–",'Basis 1'!$U48)</f>
        <v>0</v>
      </c>
      <c r="N52" s="53">
        <f>IF(ISERROR('Basis 1'!$X48),"–",'Basis 1'!$X48)</f>
        <v>0</v>
      </c>
      <c r="O52" s="54" t="str">
        <f>'Basis 1'!$AA48</f>
        <v>–</v>
      </c>
      <c r="P52" s="54" t="str">
        <f>'Basis 1'!$AD48</f>
        <v>–</v>
      </c>
      <c r="Q52" s="37"/>
    </row>
    <row r="53" spans="1:17" ht="4.5" customHeight="1">
      <c r="A53" s="36"/>
      <c r="B53" s="52" t="s">
        <v>72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</sheetData>
  <sheetProtection sheet="1" objects="1" scenarios="1" formatCells="0" sort="0"/>
  <autoFilter ref="B21:B53"/>
  <mergeCells count="42">
    <mergeCell ref="O21:P21"/>
    <mergeCell ref="L9:O9"/>
    <mergeCell ref="L10:O10"/>
    <mergeCell ref="B21:B22"/>
    <mergeCell ref="D21:F21"/>
    <mergeCell ref="G21:K21"/>
    <mergeCell ref="L21:N21"/>
    <mergeCell ref="C21:C22"/>
    <mergeCell ref="J22:K22"/>
    <mergeCell ref="M15:O18"/>
    <mergeCell ref="E15:F15"/>
    <mergeCell ref="E16:F16"/>
    <mergeCell ref="E17:F17"/>
    <mergeCell ref="E18:F18"/>
    <mergeCell ref="G15:H15"/>
    <mergeCell ref="G16:H16"/>
    <mergeCell ref="M14:O14"/>
    <mergeCell ref="L2:O2"/>
    <mergeCell ref="E5:H5"/>
    <mergeCell ref="L3:O3"/>
    <mergeCell ref="L4:O4"/>
    <mergeCell ref="L5:O5"/>
    <mergeCell ref="E2:J2"/>
    <mergeCell ref="E3:I3"/>
    <mergeCell ref="E4:I4"/>
    <mergeCell ref="I5:J5"/>
    <mergeCell ref="G17:H17"/>
    <mergeCell ref="G18:H18"/>
    <mergeCell ref="L6:O6"/>
    <mergeCell ref="B12:P12"/>
    <mergeCell ref="E14:F14"/>
    <mergeCell ref="E6:H6"/>
    <mergeCell ref="G14:H14"/>
    <mergeCell ref="L7:O7"/>
    <mergeCell ref="L8:O8"/>
    <mergeCell ref="E7:J7"/>
    <mergeCell ref="I6:J6"/>
    <mergeCell ref="E10:J10"/>
    <mergeCell ref="E9:J9"/>
    <mergeCell ref="E8:F8"/>
    <mergeCell ref="G8:H8"/>
    <mergeCell ref="I8:J8"/>
  </mergeCells>
  <dataValidations count="16">
    <dataValidation type="list" allowBlank="1" showInputMessage="1" showErrorMessage="1" sqref="D23:D52">
      <formula1>L1.TTYPE</formula1>
    </dataValidation>
    <dataValidation type="list" allowBlank="1" showInputMessage="1" showErrorMessage="1" sqref="E23:E52">
      <formula1>L1.ARMOUR</formula1>
    </dataValidation>
    <dataValidation type="list" allowBlank="1" showInputMessage="1" showErrorMessage="1" sqref="F23:F52">
      <formula1>L1.QUALITY</formula1>
    </dataValidation>
    <dataValidation type="list" allowBlank="1" showInputMessage="1" showErrorMessage="1" sqref="G23:G52">
      <formula1>L1.SHOOTING</formula1>
    </dataValidation>
    <dataValidation type="list" allowBlank="1" showInputMessage="1" showErrorMessage="1" sqref="H23:H52">
      <formula1>L1.IMPACT</formula1>
    </dataValidation>
    <dataValidation type="list" allowBlank="1" showInputMessage="1" showErrorMessage="1" sqref="I23:I52">
      <formula1>L1.MELEE</formula1>
    </dataValidation>
    <dataValidation type="list" allowBlank="1" showInputMessage="1" showErrorMessage="1" sqref="J23:J52">
      <formula1>L1.OTHER</formula1>
    </dataValidation>
    <dataValidation type="list" allowBlank="1" showInputMessage="1" showErrorMessage="1" sqref="K23:K52">
      <formula1>L1.FORMATION</formula1>
    </dataValidation>
    <dataValidation type="list" allowBlank="1" showInputMessage="1" showErrorMessage="1" sqref="C15">
      <formula1>L1.FCAMP</formula1>
    </dataValidation>
    <dataValidation type="list" allowBlank="1" showInputMessage="1" showErrorMessage="1" sqref="G15:H18">
      <formula1>L1.CTYPE</formula1>
    </dataValidation>
    <dataValidation type="list" allowBlank="1" showInputMessage="1" showErrorMessage="1" sqref="I16:I18">
      <formula1>L1.COMMANDER</formula1>
    </dataValidation>
    <dataValidation type="list" allowBlank="1" showInputMessage="1" showErrorMessage="1" sqref="E8 G8:I8">
      <formula1>L1.TERRITORY</formula1>
    </dataValidation>
    <dataValidation type="whole" operator="greaterThanOrEqual" allowBlank="1" showInputMessage="1" showErrorMessage="1" sqref="C17 C19">
      <formula1>0</formula1>
    </dataValidation>
    <dataValidation type="whole" allowBlank="1" showInputMessage="1" showErrorMessage="1" sqref="J16:J18">
      <formula1>1</formula1>
      <formula2>3</formula2>
    </dataValidation>
    <dataValidation type="whole" allowBlank="1" showInputMessage="1" showErrorMessage="1" errorTitle="Are you sure?" error="Only numbers 1 - 30 permitted!" sqref="B23:B52">
      <formula1>1</formula1>
      <formula2>30</formula2>
    </dataValidation>
    <dataValidation errorStyle="warning" type="whole" allowBlank="1" showInputMessage="1" showErrorMessage="1" errorTitle="Are you sure?" error="Maybe to few or to much bases." sqref="L23:L52">
      <formula1>2</formula1>
      <formula2>16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11:AI71"/>
  <sheetViews>
    <sheetView zoomScalePageLayoutView="0" workbookViewId="0" topLeftCell="A13">
      <selection activeCell="P19" sqref="P19"/>
    </sheetView>
  </sheetViews>
  <sheetFormatPr defaultColWidth="11.421875" defaultRowHeight="15"/>
  <cols>
    <col min="1" max="10" width="1.7109375" style="0" customWidth="1"/>
    <col min="12" max="12" width="24.00390625" style="0" bestFit="1" customWidth="1"/>
    <col min="28" max="28" width="20.00390625" style="0" bestFit="1" customWidth="1"/>
    <col min="33" max="33" width="20.00390625" style="0" bestFit="1" customWidth="1"/>
  </cols>
  <sheetData>
    <row r="1" ht="7.5" customHeight="1"/>
    <row r="2" ht="7.5" customHeight="1"/>
    <row r="3" ht="7.5" customHeight="1"/>
    <row r="4" ht="7.5" customHeight="1"/>
    <row r="5" ht="7.5" customHeight="1"/>
    <row r="6" ht="7.5" customHeight="1"/>
    <row r="7" ht="7.5" customHeight="1"/>
    <row r="8" ht="7.5" customHeight="1"/>
    <row r="9" ht="7.5" customHeight="1"/>
    <row r="10" ht="7.5" customHeight="1"/>
    <row r="11" spans="12:35" ht="14.25">
      <c r="L11" t="s">
        <v>63</v>
      </c>
      <c r="M11" s="32" t="str">
        <f>LARGE(B1.BATCHES,1)&amp;"–"&amp;LARGE(B1.BATCHES,2)&amp;"–"&amp;LARGE(B1.BATCHES,3)&amp;"–"&amp;LARGE(B1.BATCHES,4)</f>
        <v>0–0–0–0</v>
      </c>
      <c r="O11" t="s">
        <v>143</v>
      </c>
      <c r="P11" s="95" t="e">
        <f>SUM(P12:P15)</f>
        <v>#N/A</v>
      </c>
      <c r="R11" t="s">
        <v>146</v>
      </c>
      <c r="S11" s="96">
        <f>SUM($AF19:$AF48)</f>
        <v>0</v>
      </c>
      <c r="U11" t="s">
        <v>158</v>
      </c>
      <c r="V11" s="56" t="e">
        <f>X11+AE11+AI11</f>
        <v>#N/A</v>
      </c>
      <c r="X11" s="57">
        <f>SUM(X19:X48)</f>
        <v>0</v>
      </c>
      <c r="Z11" s="87"/>
      <c r="AA11" s="87"/>
      <c r="AB11" s="87"/>
      <c r="AC11" s="87"/>
      <c r="AD11" s="87"/>
      <c r="AE11" s="57" t="e">
        <f>SUM(AE13:AE16)</f>
        <v>#N/A</v>
      </c>
      <c r="AI11" s="57">
        <f>SUM(AI12:AI14)</f>
        <v>0</v>
      </c>
    </row>
    <row r="12" spans="13:35" ht="14.25">
      <c r="M12" s="33">
        <f>B1.BREAKPOINT</f>
        <v>0</v>
      </c>
      <c r="O12" t="s">
        <v>91</v>
      </c>
      <c r="Z12" s="87" t="s">
        <v>139</v>
      </c>
      <c r="AA12" s="167" t="s">
        <v>89</v>
      </c>
      <c r="AB12" s="167"/>
      <c r="AC12" s="87" t="s">
        <v>88</v>
      </c>
      <c r="AD12" s="167" t="s">
        <v>87</v>
      </c>
      <c r="AE12" s="167"/>
      <c r="AG12" t="s">
        <v>85</v>
      </c>
      <c r="AH12" t="str">
        <f>'Army List'!C15</f>
        <v>No</v>
      </c>
      <c r="AI12">
        <f>IF($AH12="Yes",24,0)</f>
        <v>0</v>
      </c>
    </row>
    <row r="13" spans="13:35" ht="14.25">
      <c r="M13" s="33">
        <f>ROUNDUP(M12/4,0)</f>
        <v>0</v>
      </c>
      <c r="O13">
        <f>F1.CINC</f>
        <v>0</v>
      </c>
      <c r="P13" s="94" t="e">
        <f>VLOOKUP(F1.CINC,P1.PBIC,5,FALSE)</f>
        <v>#N/A</v>
      </c>
      <c r="R13" t="s">
        <v>228</v>
      </c>
      <c r="S13" s="95">
        <f>SUM(AG19:AG48)</f>
        <v>0</v>
      </c>
      <c r="Z13" s="87">
        <f>F1.CINC</f>
        <v>0</v>
      </c>
      <c r="AA13" s="87" t="str">
        <f>'Army List'!$I15</f>
        <v>CinC</v>
      </c>
      <c r="AB13" s="87">
        <f>IF(AA13&gt;0,VLOOKUP($AA13,P1.COMMANDER,2,FALSE),4)</f>
        <v>2</v>
      </c>
      <c r="AC13" s="87">
        <f>'Army List'!J15</f>
        <v>1</v>
      </c>
      <c r="AD13" s="87" t="e">
        <f>IF(AC13&gt;0,VLOOKUP($Z13,P1.CTYPE,$AB13,FALSE),0)</f>
        <v>#N/A</v>
      </c>
      <c r="AE13" s="87" t="e">
        <f>AD13*AC13</f>
        <v>#N/A</v>
      </c>
      <c r="AG13" t="s">
        <v>86</v>
      </c>
      <c r="AH13">
        <f>'Army List'!C17</f>
        <v>0</v>
      </c>
      <c r="AI13">
        <f>AH13*3</f>
        <v>0</v>
      </c>
    </row>
    <row r="14" spans="13:35" ht="14.25">
      <c r="M14" s="33">
        <f>ROUNDUP((M12-M13)/3,0)</f>
        <v>0</v>
      </c>
      <c r="O14" t="s">
        <v>144</v>
      </c>
      <c r="Z14" s="87">
        <f>'Army List'!$G16</f>
        <v>0</v>
      </c>
      <c r="AA14" s="87">
        <f>'Army List'!$I16</f>
        <v>0</v>
      </c>
      <c r="AB14" s="87">
        <f>IF(AA14&gt;0,VLOOKUP($AA14,P1.COMMANDER,2,FALSE),4)</f>
        <v>4</v>
      </c>
      <c r="AC14" s="87">
        <f>'Army List'!J16</f>
        <v>0</v>
      </c>
      <c r="AD14" s="87">
        <f>IF(AC14&gt;0,VLOOKUP($Z14,P1.CTYPE,$AB14,FALSE),0)</f>
        <v>0</v>
      </c>
      <c r="AE14" s="87">
        <f>AD14*AC14</f>
        <v>0</v>
      </c>
      <c r="AG14" t="s">
        <v>130</v>
      </c>
      <c r="AH14">
        <f>'Army List'!C19</f>
        <v>0</v>
      </c>
      <c r="AI14">
        <f>AH14*30</f>
        <v>0</v>
      </c>
    </row>
    <row r="15" spans="13:31" ht="14.25">
      <c r="M15" s="33">
        <f>ROUNDUP((M12-M13-M14)/2,0)</f>
        <v>0</v>
      </c>
      <c r="O15" s="93">
        <f>SUM($AE19:$AE48)</f>
        <v>0</v>
      </c>
      <c r="P15" s="94">
        <f>IF($O$15&lt;10,0,IF(O15&lt;25,1,2))</f>
        <v>0</v>
      </c>
      <c r="Z15" s="87">
        <f>'Army List'!$G17</f>
        <v>0</v>
      </c>
      <c r="AA15" s="87">
        <f>'Army List'!$I17</f>
        <v>0</v>
      </c>
      <c r="AB15" s="87">
        <f>IF(AA15&gt;0,VLOOKUP($AA15,P1.COMMANDER,2,FALSE),4)</f>
        <v>4</v>
      </c>
      <c r="AC15" s="87">
        <f>'Army List'!J17</f>
        <v>0</v>
      </c>
      <c r="AD15" s="87">
        <f>IF(AC15&gt;0,VLOOKUP($Z15,P1.CTYPE,$AB15,FALSE),0)</f>
        <v>0</v>
      </c>
      <c r="AE15" s="87">
        <f>AD15*AC15</f>
        <v>0</v>
      </c>
    </row>
    <row r="16" spans="11:31" ht="14.25">
      <c r="K16">
        <f>MAX(B1.OOM)</f>
        <v>0</v>
      </c>
      <c r="M16" s="33">
        <f>M12-SUM(M13:M15)</f>
        <v>0</v>
      </c>
      <c r="Z16" s="87">
        <f>'Army List'!$G18</f>
        <v>0</v>
      </c>
      <c r="AA16" s="87">
        <f>'Army List'!$I18</f>
        <v>0</v>
      </c>
      <c r="AB16" s="87">
        <f>IF(AA16&gt;0,VLOOKUP($AA16,P1.COMMANDER,2,FALSE),4)</f>
        <v>4</v>
      </c>
      <c r="AC16" s="87">
        <f>'Army List'!J18</f>
        <v>0</v>
      </c>
      <c r="AD16" s="87">
        <f>IF(AC16&gt;0,VLOOKUP($Z16,P1.CTYPE,$AB16,FALSE),0)</f>
        <v>0</v>
      </c>
      <c r="AE16" s="87">
        <f>AD16*AC16</f>
        <v>0</v>
      </c>
    </row>
    <row r="17" spans="11:28" ht="14.25">
      <c r="K17" s="168"/>
      <c r="L17" s="168" t="s">
        <v>61</v>
      </c>
      <c r="M17" s="168" t="s">
        <v>5</v>
      </c>
      <c r="N17" s="168"/>
      <c r="O17" s="168"/>
      <c r="P17" s="168" t="s">
        <v>6</v>
      </c>
      <c r="Q17" s="168"/>
      <c r="R17" s="168"/>
      <c r="S17" s="168"/>
      <c r="T17" s="34"/>
      <c r="U17" s="168" t="s">
        <v>7</v>
      </c>
      <c r="V17" s="168"/>
      <c r="W17" s="168"/>
      <c r="X17" s="168"/>
      <c r="Y17" s="1"/>
      <c r="Z17" s="1"/>
      <c r="AA17" s="168" t="s">
        <v>8</v>
      </c>
      <c r="AB17" s="168"/>
    </row>
    <row r="18" spans="11:32" ht="14.25">
      <c r="K18" s="168"/>
      <c r="L18" s="168"/>
      <c r="M18" t="s">
        <v>0</v>
      </c>
      <c r="N18" t="s">
        <v>3</v>
      </c>
      <c r="O18" t="s">
        <v>2</v>
      </c>
      <c r="P18" t="s">
        <v>10</v>
      </c>
      <c r="Q18" t="s">
        <v>38</v>
      </c>
      <c r="R18" t="s">
        <v>39</v>
      </c>
      <c r="S18" t="s">
        <v>51</v>
      </c>
      <c r="T18" t="s">
        <v>103</v>
      </c>
      <c r="U18" t="s">
        <v>12</v>
      </c>
      <c r="V18" t="s">
        <v>113</v>
      </c>
      <c r="W18" t="s">
        <v>60</v>
      </c>
      <c r="X18" t="s">
        <v>13</v>
      </c>
      <c r="Y18" t="s">
        <v>11</v>
      </c>
      <c r="Z18" t="s">
        <v>62</v>
      </c>
      <c r="AA18" t="s">
        <v>4</v>
      </c>
      <c r="AD18" t="s">
        <v>14</v>
      </c>
      <c r="AE18" t="s">
        <v>138</v>
      </c>
      <c r="AF18" t="s">
        <v>147</v>
      </c>
    </row>
    <row r="19" spans="11:33" ht="14.25">
      <c r="K19">
        <f>'Army List'!$B23</f>
        <v>0</v>
      </c>
      <c r="L19" t="str">
        <f>'Army List'!$E23&amp;" "&amp;'Army List'!$D23</f>
        <v>– –</v>
      </c>
      <c r="M19">
        <f>VLOOKUP('Army List'!$D23,P1.CAPABILITY,2,FALSE)</f>
        <v>5</v>
      </c>
      <c r="N19">
        <f>VLOOKUP('Army List'!$F23,P1.QUALITY,2,FALSE)</f>
        <v>6</v>
      </c>
      <c r="O19" s="4">
        <f aca="true" t="shared" si="0" ref="O19:O48">VLOOKUP(L19,P1.BASSICCOST,N19,FALSE)</f>
        <v>0</v>
      </c>
      <c r="P19" s="4">
        <f>VLOOKUP('Army List'!$G23,P1.SHOOTINGCOST,'Basis 1'!$M19,FALSE)</f>
        <v>0</v>
      </c>
      <c r="Q19" s="4">
        <f>VLOOKUP('Army List'!$H23,P1.IMPACTCOST,'Basis 1'!$M19,FALSE)</f>
        <v>0</v>
      </c>
      <c r="R19" s="4">
        <f>VLOOKUP('Army List'!$I23,P1.MELEECOST,'Basis 1'!$M19,FALSE)</f>
        <v>0</v>
      </c>
      <c r="S19" s="4">
        <f>IF('Army List'!$J23='Listen 1 '!$Q$11,1,0)</f>
        <v>0</v>
      </c>
      <c r="T19" s="4">
        <f>VLOOKUP('Army List'!$K23,P1.FORMATIONCOST,'Basis 1'!$M19,FALSE)</f>
        <v>0</v>
      </c>
      <c r="U19" s="26">
        <f aca="true" t="shared" si="1" ref="U19:U48">SUM($O19:$T19)</f>
        <v>0</v>
      </c>
      <c r="V19" s="25">
        <f>IF('Army List'!$J23='Listen 1 '!$Q$13,VLOOKUP('Army List'!$F23,P1.RGUN,4,FALSE),0)</f>
        <v>0</v>
      </c>
      <c r="W19" s="25">
        <f>IF('Army List'!$K23='Listen 1 '!$R$13,4,0)</f>
        <v>0</v>
      </c>
      <c r="X19" s="24">
        <f>U19*'Army List'!$L23+SUM($V19:$W19)</f>
        <v>0</v>
      </c>
      <c r="Y19" s="31">
        <f>'Army List'!$L23</f>
        <v>0</v>
      </c>
      <c r="Z19" s="28" t="str">
        <f>IF($Y19&gt;0,IF($K19=$K18,0,SUMIF(B1.OOM,'Army List'!$B23,B1.NOBASE)),"–")</f>
        <v>–</v>
      </c>
      <c r="AA19" s="29" t="str">
        <f aca="true" t="shared" si="2" ref="AA19:AA48">IF($Z19=0,"",IF(ISERROR(ROUNDUP($Z19/4,0)),"–",ROUNDUP($Z19/4,0)))</f>
        <v>–</v>
      </c>
      <c r="AB19" s="27" t="str">
        <f>IF($Z19=0,"",IF(ISERROR(ROUNDUP($Z19*VLOOKUP('Army List'!$F23,P1.AUTOBREAK,3,FALSE),0)),"–",ROUNDUP($Z19*VLOOKUP('Army List'!$F23,P1.AUTOBREAK,3,FALSE),0)))</f>
        <v>–</v>
      </c>
      <c r="AC19" s="27" t="str">
        <f>IF($Z19=0,"",IF($AB19="–","–",$Z19*VLOOKUP('Army List'!$F23,P1.AUTOBREAK,3,FALSE)))</f>
        <v>–</v>
      </c>
      <c r="AD19" s="30" t="str">
        <f aca="true" t="shared" si="3" ref="AD19:AD48">IF($Z19=0,"",IF($AB19="–","–",IF($AB19&lt;=$AC19,$AB19+1,$AB19)))</f>
        <v>–</v>
      </c>
      <c r="AE19" s="92">
        <f>VLOOKUP('Army List'!$D23,P1.MOUNTED,3,FALSE)*'Basis 1'!$Y19</f>
        <v>0</v>
      </c>
      <c r="AF19" s="4">
        <f aca="true" t="shared" si="4" ref="AF19:AF48">IF($Z19="–",0,IF($Z19&gt;0,IF($Z19&gt;12,2,1),0))</f>
        <v>0</v>
      </c>
      <c r="AG19" s="94">
        <f aca="true" t="shared" si="5" ref="AG19:AG48">IF($Z19="–",0,IF($Z19&gt;0,IF($Z19&gt;12,1,0),0))</f>
        <v>0</v>
      </c>
    </row>
    <row r="20" spans="11:33" ht="14.25">
      <c r="K20">
        <f>'Army List'!B24</f>
        <v>0</v>
      </c>
      <c r="L20" t="str">
        <f>'Army List'!$E24&amp;" "&amp;'Army List'!$D24</f>
        <v>– –</v>
      </c>
      <c r="M20">
        <f>VLOOKUP('Army List'!$D24,P1.CAPABILITY,2,FALSE)</f>
        <v>5</v>
      </c>
      <c r="N20">
        <f>VLOOKUP('Army List'!$F24,P1.QUALITY,2,FALSE)</f>
        <v>6</v>
      </c>
      <c r="O20" s="4">
        <f t="shared" si="0"/>
        <v>0</v>
      </c>
      <c r="P20" s="4">
        <f>VLOOKUP('Army List'!$G24,P1.SHOOTINGCOST,'Basis 1'!$M20,FALSE)</f>
        <v>0</v>
      </c>
      <c r="Q20" s="4">
        <f>VLOOKUP('Army List'!$H24,P1.IMPACTCOST,'Basis 1'!$M20,FALSE)</f>
        <v>0</v>
      </c>
      <c r="R20" s="4">
        <f>VLOOKUP('Army List'!$I24,P1.MELEECOST,'Basis 1'!$M20,FALSE)</f>
        <v>0</v>
      </c>
      <c r="S20" s="4">
        <f>IF('Army List'!$J24='Listen 1 '!$Q$11,1,0)</f>
        <v>0</v>
      </c>
      <c r="T20" s="4">
        <f>VLOOKUP('Army List'!$K24,P1.FORMATIONCOST,'Basis 1'!$M20,FALSE)</f>
        <v>0</v>
      </c>
      <c r="U20" s="26">
        <f t="shared" si="1"/>
        <v>0</v>
      </c>
      <c r="V20" s="25">
        <f>IF('Army List'!$J24='Listen 1 '!$Q$13,VLOOKUP('Army List'!$F24,P1.RGUN,4,FALSE),0)</f>
        <v>0</v>
      </c>
      <c r="W20" s="25">
        <f>IF('Army List'!$K24='Listen 1 '!$R$13,4,0)</f>
        <v>0</v>
      </c>
      <c r="X20" s="24">
        <f>U20*'Army List'!$L24+SUM($V20:$W20)</f>
        <v>0</v>
      </c>
      <c r="Y20" s="31">
        <f>'Army List'!$L24</f>
        <v>0</v>
      </c>
      <c r="Z20" s="28" t="str">
        <f>IF($Y20&gt;0,IF($K20=$K19,0,SUMIF(B1.OOM,'Army List'!$B24,B1.NOBASE)),"–")</f>
        <v>–</v>
      </c>
      <c r="AA20" s="29" t="str">
        <f t="shared" si="2"/>
        <v>–</v>
      </c>
      <c r="AB20" s="27" t="str">
        <f>IF($Z20=0,"",IF(ISERROR(ROUNDUP($Z20*VLOOKUP('Army List'!$F24,P1.AUTOBREAK,3,FALSE),0)),"–",ROUNDUP($Z20*VLOOKUP('Army List'!$F24,P1.AUTOBREAK,3,FALSE),0)))</f>
        <v>–</v>
      </c>
      <c r="AC20" s="27" t="str">
        <f>IF($Z20=0,"",IF($AB20="–","–",$Z20*VLOOKUP('Army List'!$F24,P1.AUTOBREAK,3,FALSE)))</f>
        <v>–</v>
      </c>
      <c r="AD20" s="30" t="str">
        <f t="shared" si="3"/>
        <v>–</v>
      </c>
      <c r="AE20" s="92">
        <f>VLOOKUP('Army List'!$D24,P1.MOUNTED,3,FALSE)*'Basis 1'!$Y20</f>
        <v>0</v>
      </c>
      <c r="AF20" s="4">
        <f t="shared" si="4"/>
        <v>0</v>
      </c>
      <c r="AG20" s="94">
        <f t="shared" si="5"/>
        <v>0</v>
      </c>
    </row>
    <row r="21" spans="11:33" ht="14.25">
      <c r="K21">
        <f>'Army List'!B25</f>
        <v>0</v>
      </c>
      <c r="L21" t="str">
        <f>'Army List'!$E25&amp;" "&amp;'Army List'!$D25</f>
        <v>– –</v>
      </c>
      <c r="M21">
        <f>VLOOKUP('Army List'!$D25,P1.CAPABILITY,2,FALSE)</f>
        <v>5</v>
      </c>
      <c r="N21">
        <f>VLOOKUP('Army List'!$F25,P1.QUALITY,2,FALSE)</f>
        <v>6</v>
      </c>
      <c r="O21" s="4">
        <f t="shared" si="0"/>
        <v>0</v>
      </c>
      <c r="P21" s="4">
        <f>VLOOKUP('Army List'!$G25,P1.SHOOTINGCOST,'Basis 1'!$M21,FALSE)</f>
        <v>0</v>
      </c>
      <c r="Q21" s="4">
        <f>VLOOKUP('Army List'!$H25,P1.IMPACTCOST,'Basis 1'!$M21,FALSE)</f>
        <v>0</v>
      </c>
      <c r="R21" s="4">
        <f>VLOOKUP('Army List'!$I25,P1.MELEECOST,'Basis 1'!$M21,FALSE)</f>
        <v>0</v>
      </c>
      <c r="S21" s="4">
        <f>IF('Army List'!$J25='Listen 1 '!$Q$11,1,0)</f>
        <v>0</v>
      </c>
      <c r="T21" s="4">
        <f>VLOOKUP('Army List'!$K25,P1.FORMATIONCOST,'Basis 1'!$M21,FALSE)</f>
        <v>0</v>
      </c>
      <c r="U21" s="26">
        <f t="shared" si="1"/>
        <v>0</v>
      </c>
      <c r="V21" s="25">
        <f>IF('Army List'!$J25='Listen 1 '!$Q$13,VLOOKUP('Army List'!$F25,P1.RGUN,4,FALSE),0)</f>
        <v>0</v>
      </c>
      <c r="W21" s="25">
        <f>IF('Army List'!$K25='Listen 1 '!$R$13,4,0)</f>
        <v>0</v>
      </c>
      <c r="X21" s="24">
        <f>U21*'Army List'!$L25+SUM($V21:$W21)</f>
        <v>0</v>
      </c>
      <c r="Y21" s="31">
        <f>'Army List'!$L25</f>
        <v>0</v>
      </c>
      <c r="Z21" s="28" t="str">
        <f>IF($Y21&gt;0,IF($K21=$K20,0,SUMIF(B1.OOM,'Army List'!$B25,B1.NOBASE)),"–")</f>
        <v>–</v>
      </c>
      <c r="AA21" s="29" t="str">
        <f t="shared" si="2"/>
        <v>–</v>
      </c>
      <c r="AB21" s="27" t="str">
        <f>IF($Z21=0,"",IF(ISERROR(ROUNDUP($Z21*VLOOKUP('Army List'!$F25,P1.AUTOBREAK,3,FALSE),0)),"–",ROUNDUP($Z21*VLOOKUP('Army List'!$F25,P1.AUTOBREAK,3,FALSE),0)))</f>
        <v>–</v>
      </c>
      <c r="AC21" s="27" t="str">
        <f>IF($Z21=0,"",IF($AB21="–","–",$Z21*VLOOKUP('Army List'!$F25,P1.AUTOBREAK,3,FALSE)))</f>
        <v>–</v>
      </c>
      <c r="AD21" s="30" t="str">
        <f t="shared" si="3"/>
        <v>–</v>
      </c>
      <c r="AE21" s="92">
        <f>VLOOKUP('Army List'!$D25,P1.MOUNTED,3,FALSE)*'Basis 1'!$Y21</f>
        <v>0</v>
      </c>
      <c r="AF21" s="4">
        <f t="shared" si="4"/>
        <v>0</v>
      </c>
      <c r="AG21" s="94">
        <f t="shared" si="5"/>
        <v>0</v>
      </c>
    </row>
    <row r="22" spans="11:33" ht="14.25">
      <c r="K22">
        <f>'Army List'!B26</f>
        <v>0</v>
      </c>
      <c r="L22" t="str">
        <f>'Army List'!$E26&amp;" "&amp;'Army List'!$D26</f>
        <v>– –</v>
      </c>
      <c r="M22">
        <f>VLOOKUP('Army List'!$D26,P1.CAPABILITY,2,FALSE)</f>
        <v>5</v>
      </c>
      <c r="N22">
        <f>VLOOKUP('Army List'!$F26,P1.QUALITY,2,FALSE)</f>
        <v>6</v>
      </c>
      <c r="O22" s="4">
        <f t="shared" si="0"/>
        <v>0</v>
      </c>
      <c r="P22" s="4">
        <f>VLOOKUP('Army List'!$G26,P1.SHOOTINGCOST,'Basis 1'!$M22,FALSE)</f>
        <v>0</v>
      </c>
      <c r="Q22" s="4">
        <f>VLOOKUP('Army List'!$H26,P1.IMPACTCOST,'Basis 1'!$M22,FALSE)</f>
        <v>0</v>
      </c>
      <c r="R22" s="4">
        <f>VLOOKUP('Army List'!$I26,P1.MELEECOST,'Basis 1'!$M22,FALSE)</f>
        <v>0</v>
      </c>
      <c r="S22" s="4">
        <f>IF('Army List'!$J26='Listen 1 '!$Q$11,1,0)</f>
        <v>0</v>
      </c>
      <c r="T22" s="4">
        <f>VLOOKUP('Army List'!$K26,P1.FORMATIONCOST,'Basis 1'!$M22,FALSE)</f>
        <v>0</v>
      </c>
      <c r="U22" s="26">
        <f t="shared" si="1"/>
        <v>0</v>
      </c>
      <c r="V22" s="25">
        <f>IF('Army List'!$J26='Listen 1 '!$Q$13,VLOOKUP('Army List'!$F26,P1.RGUN,4,FALSE),0)</f>
        <v>0</v>
      </c>
      <c r="W22" s="25">
        <f>IF('Army List'!$K26='Listen 1 '!$R$13,4,0)</f>
        <v>0</v>
      </c>
      <c r="X22" s="24">
        <f>U22*'Army List'!$L26+SUM($V22:$W22)</f>
        <v>0</v>
      </c>
      <c r="Y22" s="31">
        <f>'Army List'!$L26</f>
        <v>0</v>
      </c>
      <c r="Z22" s="28" t="str">
        <f>IF($Y22&gt;0,IF($K22=$K21,0,SUMIF(B1.OOM,'Army List'!$B26,B1.NOBASE)),"–")</f>
        <v>–</v>
      </c>
      <c r="AA22" s="29" t="str">
        <f t="shared" si="2"/>
        <v>–</v>
      </c>
      <c r="AB22" s="27" t="str">
        <f>IF($Z22=0,"",IF(ISERROR(ROUNDUP($Z22*VLOOKUP('Army List'!$F26,P1.AUTOBREAK,3,FALSE),0)),"–",ROUNDUP($Z22*VLOOKUP('Army List'!$F26,P1.AUTOBREAK,3,FALSE),0)))</f>
        <v>–</v>
      </c>
      <c r="AC22" s="27" t="str">
        <f>IF($Z22=0,"",IF($AB22="–","–",$Z22*VLOOKUP('Army List'!$F26,P1.AUTOBREAK,3,FALSE)))</f>
        <v>–</v>
      </c>
      <c r="AD22" s="30" t="str">
        <f t="shared" si="3"/>
        <v>–</v>
      </c>
      <c r="AE22" s="92">
        <f>VLOOKUP('Army List'!$D26,P1.MOUNTED,3,FALSE)*'Basis 1'!$Y22</f>
        <v>0</v>
      </c>
      <c r="AF22" s="4">
        <f t="shared" si="4"/>
        <v>0</v>
      </c>
      <c r="AG22" s="94">
        <f t="shared" si="5"/>
        <v>0</v>
      </c>
    </row>
    <row r="23" spans="11:33" ht="14.25">
      <c r="K23">
        <f>'Army List'!B27</f>
        <v>0</v>
      </c>
      <c r="L23" t="str">
        <f>'Army List'!$E27&amp;" "&amp;'Army List'!$D27</f>
        <v>– –</v>
      </c>
      <c r="M23">
        <f>VLOOKUP('Army List'!$D27,P1.CAPABILITY,2,FALSE)</f>
        <v>5</v>
      </c>
      <c r="N23">
        <f>VLOOKUP('Army List'!$F27,P1.QUALITY,2,FALSE)</f>
        <v>6</v>
      </c>
      <c r="O23" s="4">
        <f t="shared" si="0"/>
        <v>0</v>
      </c>
      <c r="P23" s="4">
        <f>VLOOKUP('Army List'!$G27,P1.SHOOTINGCOST,'Basis 1'!$M23,FALSE)</f>
        <v>0</v>
      </c>
      <c r="Q23" s="4">
        <f>VLOOKUP('Army List'!$H27,P1.IMPACTCOST,'Basis 1'!$M23,FALSE)</f>
        <v>0</v>
      </c>
      <c r="R23" s="4">
        <f>VLOOKUP('Army List'!$I27,P1.MELEECOST,'Basis 1'!$M23,FALSE)</f>
        <v>0</v>
      </c>
      <c r="S23" s="4">
        <f>IF('Army List'!$J27='Listen 1 '!$Q$11,1,0)</f>
        <v>0</v>
      </c>
      <c r="T23" s="4">
        <f>VLOOKUP('Army List'!$K27,P1.FORMATIONCOST,'Basis 1'!$M23,FALSE)</f>
        <v>0</v>
      </c>
      <c r="U23" s="26">
        <f t="shared" si="1"/>
        <v>0</v>
      </c>
      <c r="V23" s="25">
        <f>IF('Army List'!$J27='Listen 1 '!$Q$13,VLOOKUP('Army List'!$F27,P1.RGUN,4,FALSE),0)</f>
        <v>0</v>
      </c>
      <c r="W23" s="25">
        <f>IF('Army List'!$K27='Listen 1 '!$R$13,4,0)</f>
        <v>0</v>
      </c>
      <c r="X23" s="24">
        <f>U23*'Army List'!$L27+SUM($V23:$W23)</f>
        <v>0</v>
      </c>
      <c r="Y23" s="31">
        <f>'Army List'!$L27</f>
        <v>0</v>
      </c>
      <c r="Z23" s="28" t="str">
        <f>IF($Y23&gt;0,IF($K23=$K22,0,SUMIF(B1.OOM,'Army List'!$B27,B1.NOBASE)),"–")</f>
        <v>–</v>
      </c>
      <c r="AA23" s="29" t="str">
        <f t="shared" si="2"/>
        <v>–</v>
      </c>
      <c r="AB23" s="27" t="str">
        <f>IF($Z23=0,"",IF(ISERROR(ROUNDUP($Z23*VLOOKUP('Army List'!$F27,P1.AUTOBREAK,3,FALSE),0)),"–",ROUNDUP($Z23*VLOOKUP('Army List'!$F27,P1.AUTOBREAK,3,FALSE),0)))</f>
        <v>–</v>
      </c>
      <c r="AC23" s="27" t="str">
        <f>IF($Z23=0,"",IF($AB23="–","–",$Z23*VLOOKUP('Army List'!$F27,P1.AUTOBREAK,3,FALSE)))</f>
        <v>–</v>
      </c>
      <c r="AD23" s="30" t="str">
        <f t="shared" si="3"/>
        <v>–</v>
      </c>
      <c r="AE23" s="92">
        <f>VLOOKUP('Army List'!$D27,P1.MOUNTED,3,FALSE)*'Basis 1'!$Y23</f>
        <v>0</v>
      </c>
      <c r="AF23" s="4">
        <f t="shared" si="4"/>
        <v>0</v>
      </c>
      <c r="AG23" s="94">
        <f t="shared" si="5"/>
        <v>0</v>
      </c>
    </row>
    <row r="24" spans="11:33" ht="14.25">
      <c r="K24">
        <f>'Army List'!B28</f>
        <v>0</v>
      </c>
      <c r="L24" t="str">
        <f>'Army List'!$E28&amp;" "&amp;'Army List'!$D28</f>
        <v>– –</v>
      </c>
      <c r="M24">
        <f>VLOOKUP('Army List'!$D28,P1.CAPABILITY,2,FALSE)</f>
        <v>5</v>
      </c>
      <c r="N24">
        <f>VLOOKUP('Army List'!$F28,P1.QUALITY,2,FALSE)</f>
        <v>6</v>
      </c>
      <c r="O24" s="4">
        <f t="shared" si="0"/>
        <v>0</v>
      </c>
      <c r="P24" s="4">
        <f>VLOOKUP('Army List'!$G28,P1.SHOOTINGCOST,'Basis 1'!$M24,FALSE)</f>
        <v>0</v>
      </c>
      <c r="Q24" s="4">
        <f>VLOOKUP('Army List'!$H28,P1.IMPACTCOST,'Basis 1'!$M24,FALSE)</f>
        <v>0</v>
      </c>
      <c r="R24" s="4">
        <f>VLOOKUP('Army List'!$I28,P1.MELEECOST,'Basis 1'!$M24,FALSE)</f>
        <v>0</v>
      </c>
      <c r="S24" s="4">
        <f>IF('Army List'!$J28='Listen 1 '!$Q$11,1,0)</f>
        <v>0</v>
      </c>
      <c r="T24" s="4">
        <f>VLOOKUP('Army List'!$K28,P1.FORMATIONCOST,'Basis 1'!$M24,FALSE)</f>
        <v>0</v>
      </c>
      <c r="U24" s="26">
        <f t="shared" si="1"/>
        <v>0</v>
      </c>
      <c r="V24" s="25">
        <f>IF('Army List'!$J28='Listen 1 '!$Q$13,VLOOKUP('Army List'!$F28,P1.RGUN,4,FALSE),0)</f>
        <v>0</v>
      </c>
      <c r="W24" s="25">
        <f>IF('Army List'!$K28='Listen 1 '!$R$13,4,0)</f>
        <v>0</v>
      </c>
      <c r="X24" s="24">
        <f>U24*'Army List'!$L28+SUM($V24:$W24)</f>
        <v>0</v>
      </c>
      <c r="Y24" s="31">
        <f>'Army List'!$L28</f>
        <v>0</v>
      </c>
      <c r="Z24" s="28" t="str">
        <f>IF($Y24&gt;0,IF($K24=$K23,0,SUMIF(B1.OOM,'Army List'!$B28,B1.NOBASE)),"–")</f>
        <v>–</v>
      </c>
      <c r="AA24" s="29" t="str">
        <f t="shared" si="2"/>
        <v>–</v>
      </c>
      <c r="AB24" s="27" t="str">
        <f>IF($Z24=0,"",IF(ISERROR(ROUNDUP($Z24*VLOOKUP('Army List'!$F28,P1.AUTOBREAK,3,FALSE),0)),"–",ROUNDUP($Z24*VLOOKUP('Army List'!$F28,P1.AUTOBREAK,3,FALSE),0)))</f>
        <v>–</v>
      </c>
      <c r="AC24" s="27" t="str">
        <f>IF($Z24=0,"",IF($AB24="–","–",$Z24*VLOOKUP('Army List'!$F28,P1.AUTOBREAK,3,FALSE)))</f>
        <v>–</v>
      </c>
      <c r="AD24" s="30" t="str">
        <f t="shared" si="3"/>
        <v>–</v>
      </c>
      <c r="AE24" s="92">
        <f>VLOOKUP('Army List'!$D28,P1.MOUNTED,3,FALSE)*'Basis 1'!$Y24</f>
        <v>0</v>
      </c>
      <c r="AF24" s="4">
        <f t="shared" si="4"/>
        <v>0</v>
      </c>
      <c r="AG24" s="94">
        <f t="shared" si="5"/>
        <v>0</v>
      </c>
    </row>
    <row r="25" spans="11:33" ht="14.25">
      <c r="K25">
        <f>'Army List'!B29</f>
        <v>0</v>
      </c>
      <c r="L25" t="str">
        <f>'Army List'!$E29&amp;" "&amp;'Army List'!$D29</f>
        <v>– –</v>
      </c>
      <c r="M25">
        <f>VLOOKUP('Army List'!$D29,P1.CAPABILITY,2,FALSE)</f>
        <v>5</v>
      </c>
      <c r="N25">
        <f>VLOOKUP('Army List'!$F29,P1.QUALITY,2,FALSE)</f>
        <v>6</v>
      </c>
      <c r="O25" s="4">
        <f t="shared" si="0"/>
        <v>0</v>
      </c>
      <c r="P25" s="4">
        <f>VLOOKUP('Army List'!$G29,P1.SHOOTINGCOST,'Basis 1'!$M25,FALSE)</f>
        <v>0</v>
      </c>
      <c r="Q25" s="4">
        <f>VLOOKUP('Army List'!$H29,P1.IMPACTCOST,'Basis 1'!$M25,FALSE)</f>
        <v>0</v>
      </c>
      <c r="R25" s="4">
        <f>VLOOKUP('Army List'!$I29,P1.MELEECOST,'Basis 1'!$M25,FALSE)</f>
        <v>0</v>
      </c>
      <c r="S25" s="4">
        <f>IF('Army List'!$J29='Listen 1 '!$Q$11,1,0)</f>
        <v>0</v>
      </c>
      <c r="T25" s="4">
        <f>VLOOKUP('Army List'!$K29,P1.FORMATIONCOST,'Basis 1'!$M25,FALSE)</f>
        <v>0</v>
      </c>
      <c r="U25" s="26">
        <f t="shared" si="1"/>
        <v>0</v>
      </c>
      <c r="V25" s="25">
        <f>IF('Army List'!$J29='Listen 1 '!$Q$13,VLOOKUP('Army List'!$F29,P1.RGUN,4,FALSE),0)</f>
        <v>0</v>
      </c>
      <c r="W25" s="25">
        <f>IF('Army List'!$K29='Listen 1 '!$R$13,4,0)</f>
        <v>0</v>
      </c>
      <c r="X25" s="24">
        <f>U25*'Army List'!$L29+SUM($V25:$W25)</f>
        <v>0</v>
      </c>
      <c r="Y25" s="31">
        <f>'Army List'!$L29</f>
        <v>0</v>
      </c>
      <c r="Z25" s="28" t="str">
        <f>IF($Y25&gt;0,IF($K25=$K24,0,SUMIF(B1.OOM,'Army List'!$B29,B1.NOBASE)),"–")</f>
        <v>–</v>
      </c>
      <c r="AA25" s="29" t="str">
        <f t="shared" si="2"/>
        <v>–</v>
      </c>
      <c r="AB25" s="27" t="str">
        <f>IF($Z25=0,"",IF(ISERROR(ROUNDUP($Z25*VLOOKUP('Army List'!$F29,P1.AUTOBREAK,3,FALSE),0)),"–",ROUNDUP($Z25*VLOOKUP('Army List'!$F29,P1.AUTOBREAK,3,FALSE),0)))</f>
        <v>–</v>
      </c>
      <c r="AC25" s="27" t="str">
        <f>IF($Z25=0,"",IF($AB25="–","–",$Z25*VLOOKUP('Army List'!$F29,P1.AUTOBREAK,3,FALSE)))</f>
        <v>–</v>
      </c>
      <c r="AD25" s="30" t="str">
        <f t="shared" si="3"/>
        <v>–</v>
      </c>
      <c r="AE25" s="92">
        <f>VLOOKUP('Army List'!$D29,P1.MOUNTED,3,FALSE)*'Basis 1'!$Y25</f>
        <v>0</v>
      </c>
      <c r="AF25" s="4">
        <f t="shared" si="4"/>
        <v>0</v>
      </c>
      <c r="AG25" s="94">
        <f t="shared" si="5"/>
        <v>0</v>
      </c>
    </row>
    <row r="26" spans="11:33" ht="14.25">
      <c r="K26">
        <f>'Army List'!B30</f>
        <v>0</v>
      </c>
      <c r="L26" t="str">
        <f>'Army List'!$E30&amp;" "&amp;'Army List'!$D30</f>
        <v>– –</v>
      </c>
      <c r="M26">
        <f>VLOOKUP('Army List'!$D30,P1.CAPABILITY,2,FALSE)</f>
        <v>5</v>
      </c>
      <c r="N26">
        <f>VLOOKUP('Army List'!$F30,P1.QUALITY,2,FALSE)</f>
        <v>6</v>
      </c>
      <c r="O26" s="4">
        <f t="shared" si="0"/>
        <v>0</v>
      </c>
      <c r="P26" s="4">
        <f>VLOOKUP('Army List'!$G30,P1.SHOOTINGCOST,'Basis 1'!$M26,FALSE)</f>
        <v>0</v>
      </c>
      <c r="Q26" s="4">
        <f>VLOOKUP('Army List'!$H30,P1.IMPACTCOST,'Basis 1'!$M26,FALSE)</f>
        <v>0</v>
      </c>
      <c r="R26" s="4">
        <f>VLOOKUP('Army List'!$I30,P1.MELEECOST,'Basis 1'!$M26,FALSE)</f>
        <v>0</v>
      </c>
      <c r="S26" s="4">
        <f>IF('Army List'!$J30='Listen 1 '!$Q$11,1,0)</f>
        <v>0</v>
      </c>
      <c r="T26" s="4">
        <f>VLOOKUP('Army List'!$K30,P1.FORMATIONCOST,'Basis 1'!$M26,FALSE)</f>
        <v>0</v>
      </c>
      <c r="U26" s="26">
        <f t="shared" si="1"/>
        <v>0</v>
      </c>
      <c r="V26" s="25">
        <f>IF('Army List'!$J30='Listen 1 '!$Q$13,VLOOKUP('Army List'!$F30,P1.RGUN,4,FALSE),0)</f>
        <v>0</v>
      </c>
      <c r="W26" s="25">
        <f>IF('Army List'!$K30='Listen 1 '!$R$13,4,0)</f>
        <v>0</v>
      </c>
      <c r="X26" s="24">
        <f>U26*'Army List'!$L30+SUM($V26:$W26)</f>
        <v>0</v>
      </c>
      <c r="Y26" s="31">
        <f>'Army List'!$L30</f>
        <v>0</v>
      </c>
      <c r="Z26" s="28" t="str">
        <f>IF($Y26&gt;0,IF($K26=$K25,0,SUMIF(B1.OOM,'Army List'!$B30,B1.NOBASE)),"–")</f>
        <v>–</v>
      </c>
      <c r="AA26" s="29" t="str">
        <f t="shared" si="2"/>
        <v>–</v>
      </c>
      <c r="AB26" s="27" t="str">
        <f>IF($Z26=0,"",IF(ISERROR(ROUNDUP($Z26*VLOOKUP('Army List'!$F30,P1.AUTOBREAK,3,FALSE),0)),"–",ROUNDUP($Z26*VLOOKUP('Army List'!$F30,P1.AUTOBREAK,3,FALSE),0)))</f>
        <v>–</v>
      </c>
      <c r="AC26" s="27" t="str">
        <f>IF($Z26=0,"",IF($AB26="–","–",$Z26*VLOOKUP('Army List'!$F30,P1.AUTOBREAK,3,FALSE)))</f>
        <v>–</v>
      </c>
      <c r="AD26" s="30" t="str">
        <f t="shared" si="3"/>
        <v>–</v>
      </c>
      <c r="AE26" s="92">
        <f>VLOOKUP('Army List'!$D30,P1.MOUNTED,3,FALSE)*'Basis 1'!$Y26</f>
        <v>0</v>
      </c>
      <c r="AF26" s="4">
        <f t="shared" si="4"/>
        <v>0</v>
      </c>
      <c r="AG26" s="94">
        <f t="shared" si="5"/>
        <v>0</v>
      </c>
    </row>
    <row r="27" spans="11:33" ht="14.25">
      <c r="K27">
        <f>'Army List'!B31</f>
        <v>0</v>
      </c>
      <c r="L27" t="str">
        <f>'Army List'!$E31&amp;" "&amp;'Army List'!$D31</f>
        <v>– –</v>
      </c>
      <c r="M27">
        <f>VLOOKUP('Army List'!$D31,P1.CAPABILITY,2,FALSE)</f>
        <v>5</v>
      </c>
      <c r="N27">
        <f>VLOOKUP('Army List'!$F31,P1.QUALITY,2,FALSE)</f>
        <v>6</v>
      </c>
      <c r="O27" s="4">
        <f t="shared" si="0"/>
        <v>0</v>
      </c>
      <c r="P27" s="4">
        <f>VLOOKUP('Army List'!$G31,P1.SHOOTINGCOST,'Basis 1'!$M27,FALSE)</f>
        <v>0</v>
      </c>
      <c r="Q27" s="4">
        <f>VLOOKUP('Army List'!$H31,P1.IMPACTCOST,'Basis 1'!$M27,FALSE)</f>
        <v>0</v>
      </c>
      <c r="R27" s="4">
        <f>VLOOKUP('Army List'!$I31,P1.MELEECOST,'Basis 1'!$M27,FALSE)</f>
        <v>0</v>
      </c>
      <c r="S27" s="4">
        <f>IF('Army List'!$J31='Listen 1 '!$Q$11,1,0)</f>
        <v>0</v>
      </c>
      <c r="T27" s="4">
        <f>VLOOKUP('Army List'!$K31,P1.FORMATIONCOST,'Basis 1'!$M27,FALSE)</f>
        <v>0</v>
      </c>
      <c r="U27" s="26">
        <f t="shared" si="1"/>
        <v>0</v>
      </c>
      <c r="V27" s="25">
        <f>IF('Army List'!$J31='Listen 1 '!$Q$13,VLOOKUP('Army List'!$F31,P1.RGUN,4,FALSE),0)</f>
        <v>0</v>
      </c>
      <c r="W27" s="25">
        <f>IF('Army List'!$K31='Listen 1 '!$R$13,4,0)</f>
        <v>0</v>
      </c>
      <c r="X27" s="24">
        <f>U27*'Army List'!$L31+SUM($V27:$W27)</f>
        <v>0</v>
      </c>
      <c r="Y27" s="31">
        <f>'Army List'!$L31</f>
        <v>0</v>
      </c>
      <c r="Z27" s="28" t="str">
        <f>IF($Y27&gt;0,IF($K27=$K26,0,SUMIF(B1.OOM,'Army List'!$B31,B1.NOBASE)),"–")</f>
        <v>–</v>
      </c>
      <c r="AA27" s="29" t="str">
        <f t="shared" si="2"/>
        <v>–</v>
      </c>
      <c r="AB27" s="27" t="str">
        <f>IF($Z27=0,"",IF(ISERROR(ROUNDUP($Z27*VLOOKUP('Army List'!$F31,P1.AUTOBREAK,3,FALSE),0)),"–",ROUNDUP($Z27*VLOOKUP('Army List'!$F31,P1.AUTOBREAK,3,FALSE),0)))</f>
        <v>–</v>
      </c>
      <c r="AC27" s="27" t="str">
        <f>IF($Z27=0,"",IF($AB27="–","–",$Z27*VLOOKUP('Army List'!$F31,P1.AUTOBREAK,3,FALSE)))</f>
        <v>–</v>
      </c>
      <c r="AD27" s="30" t="str">
        <f t="shared" si="3"/>
        <v>–</v>
      </c>
      <c r="AE27" s="92">
        <f>VLOOKUP('Army List'!$D31,P1.MOUNTED,3,FALSE)*'Basis 1'!$Y27</f>
        <v>0</v>
      </c>
      <c r="AF27" s="4">
        <f t="shared" si="4"/>
        <v>0</v>
      </c>
      <c r="AG27" s="94">
        <f t="shared" si="5"/>
        <v>0</v>
      </c>
    </row>
    <row r="28" spans="11:33" ht="14.25">
      <c r="K28">
        <f>'Army List'!B32</f>
        <v>0</v>
      </c>
      <c r="L28" t="str">
        <f>'Army List'!$E32&amp;" "&amp;'Army List'!$D32</f>
        <v>– –</v>
      </c>
      <c r="M28">
        <f>VLOOKUP('Army List'!$D32,P1.CAPABILITY,2,FALSE)</f>
        <v>5</v>
      </c>
      <c r="N28">
        <f>VLOOKUP('Army List'!$F32,P1.QUALITY,2,FALSE)</f>
        <v>6</v>
      </c>
      <c r="O28" s="4">
        <f t="shared" si="0"/>
        <v>0</v>
      </c>
      <c r="P28" s="4">
        <f>VLOOKUP('Army List'!$G32,P1.SHOOTINGCOST,'Basis 1'!$M28,FALSE)</f>
        <v>0</v>
      </c>
      <c r="Q28" s="4">
        <f>VLOOKUP('Army List'!$H32,P1.IMPACTCOST,'Basis 1'!$M28,FALSE)</f>
        <v>0</v>
      </c>
      <c r="R28" s="4">
        <f>VLOOKUP('Army List'!$I32,P1.MELEECOST,'Basis 1'!$M28,FALSE)</f>
        <v>0</v>
      </c>
      <c r="S28" s="4">
        <f>IF('Army List'!$J32='Listen 1 '!$Q$11,1,0)</f>
        <v>0</v>
      </c>
      <c r="T28" s="4">
        <f>VLOOKUP('Army List'!$K32,P1.FORMATIONCOST,'Basis 1'!$M28,FALSE)</f>
        <v>0</v>
      </c>
      <c r="U28" s="26">
        <f t="shared" si="1"/>
        <v>0</v>
      </c>
      <c r="V28" s="25">
        <f>IF('Army List'!$J32='Listen 1 '!$Q$13,VLOOKUP('Army List'!$F32,P1.RGUN,4,FALSE),0)</f>
        <v>0</v>
      </c>
      <c r="W28" s="25">
        <f>IF('Army List'!$K32='Listen 1 '!$R$13,4,0)</f>
        <v>0</v>
      </c>
      <c r="X28" s="24">
        <f>U28*'Army List'!$L32+SUM($V28:$W28)</f>
        <v>0</v>
      </c>
      <c r="Y28" s="31">
        <f>'Army List'!$L32</f>
        <v>0</v>
      </c>
      <c r="Z28" s="28" t="str">
        <f>IF($Y28&gt;0,IF($K28=$K27,0,SUMIF(B1.OOM,'Army List'!$B32,B1.NOBASE)),"–")</f>
        <v>–</v>
      </c>
      <c r="AA28" s="29" t="str">
        <f t="shared" si="2"/>
        <v>–</v>
      </c>
      <c r="AB28" s="27" t="str">
        <f>IF($Z28=0,"",IF(ISERROR(ROUNDUP($Z28*VLOOKUP('Army List'!$F32,P1.AUTOBREAK,3,FALSE),0)),"–",ROUNDUP($Z28*VLOOKUP('Army List'!$F32,P1.AUTOBREAK,3,FALSE),0)))</f>
        <v>–</v>
      </c>
      <c r="AC28" s="27" t="str">
        <f>IF($Z28=0,"",IF($AB28="–","–",$Z28*VLOOKUP('Army List'!$F32,P1.AUTOBREAK,3,FALSE)))</f>
        <v>–</v>
      </c>
      <c r="AD28" s="30" t="str">
        <f t="shared" si="3"/>
        <v>–</v>
      </c>
      <c r="AE28" s="92">
        <f>VLOOKUP('Army List'!$D32,P1.MOUNTED,3,FALSE)*'Basis 1'!$Y28</f>
        <v>0</v>
      </c>
      <c r="AF28" s="4">
        <f t="shared" si="4"/>
        <v>0</v>
      </c>
      <c r="AG28" s="94">
        <f t="shared" si="5"/>
        <v>0</v>
      </c>
    </row>
    <row r="29" spans="11:33" ht="14.25">
      <c r="K29">
        <f>'Army List'!B33</f>
        <v>0</v>
      </c>
      <c r="L29" t="str">
        <f>'Army List'!$E33&amp;" "&amp;'Army List'!$D33</f>
        <v>– –</v>
      </c>
      <c r="M29">
        <f>VLOOKUP('Army List'!$D33,P1.CAPABILITY,2,FALSE)</f>
        <v>5</v>
      </c>
      <c r="N29">
        <f>VLOOKUP('Army List'!$F33,P1.QUALITY,2,FALSE)</f>
        <v>6</v>
      </c>
      <c r="O29" s="4">
        <f t="shared" si="0"/>
        <v>0</v>
      </c>
      <c r="P29" s="4">
        <f>VLOOKUP('Army List'!$G33,P1.SHOOTINGCOST,'Basis 1'!$M29,FALSE)</f>
        <v>0</v>
      </c>
      <c r="Q29" s="4">
        <f>VLOOKUP('Army List'!$H33,P1.IMPACTCOST,'Basis 1'!$M29,FALSE)</f>
        <v>0</v>
      </c>
      <c r="R29" s="4">
        <f>VLOOKUP('Army List'!$I33,P1.MELEECOST,'Basis 1'!$M29,FALSE)</f>
        <v>0</v>
      </c>
      <c r="S29" s="4">
        <f>IF('Army List'!$J33='Listen 1 '!$Q$11,1,0)</f>
        <v>0</v>
      </c>
      <c r="T29" s="4">
        <f>VLOOKUP('Army List'!$K33,P1.FORMATIONCOST,'Basis 1'!$M29,FALSE)</f>
        <v>0</v>
      </c>
      <c r="U29" s="26">
        <f t="shared" si="1"/>
        <v>0</v>
      </c>
      <c r="V29" s="25">
        <f>IF('Army List'!$J33='Listen 1 '!$Q$13,VLOOKUP('Army List'!$F33,P1.RGUN,4,FALSE),0)</f>
        <v>0</v>
      </c>
      <c r="W29" s="25">
        <f>IF('Army List'!$K33='Listen 1 '!$R$13,4,0)</f>
        <v>0</v>
      </c>
      <c r="X29" s="24">
        <f>U29*'Army List'!$L33+SUM($V29:$W29)</f>
        <v>0</v>
      </c>
      <c r="Y29" s="31">
        <f>'Army List'!$L33</f>
        <v>0</v>
      </c>
      <c r="Z29" s="28" t="str">
        <f>IF($Y29&gt;0,IF($K29=$K28,0,SUMIF(B1.OOM,'Army List'!$B33,B1.NOBASE)),"–")</f>
        <v>–</v>
      </c>
      <c r="AA29" s="29" t="str">
        <f t="shared" si="2"/>
        <v>–</v>
      </c>
      <c r="AB29" s="27" t="str">
        <f>IF($Z29=0,"",IF(ISERROR(ROUNDUP($Z29*VLOOKUP('Army List'!$F33,P1.AUTOBREAK,3,FALSE),0)),"–",ROUNDUP($Z29*VLOOKUP('Army List'!$F33,P1.AUTOBREAK,3,FALSE),0)))</f>
        <v>–</v>
      </c>
      <c r="AC29" s="27" t="str">
        <f>IF($Z29=0,"",IF($AB29="–","–",$Z29*VLOOKUP('Army List'!$F33,P1.AUTOBREAK,3,FALSE)))</f>
        <v>–</v>
      </c>
      <c r="AD29" s="30" t="str">
        <f t="shared" si="3"/>
        <v>–</v>
      </c>
      <c r="AE29" s="92">
        <f>VLOOKUP('Army List'!$D33,P1.MOUNTED,3,FALSE)*'Basis 1'!$Y29</f>
        <v>0</v>
      </c>
      <c r="AF29" s="4">
        <f t="shared" si="4"/>
        <v>0</v>
      </c>
      <c r="AG29" s="94">
        <f t="shared" si="5"/>
        <v>0</v>
      </c>
    </row>
    <row r="30" spans="11:33" ht="14.25">
      <c r="K30">
        <f>'Army List'!B34</f>
        <v>0</v>
      </c>
      <c r="L30" t="str">
        <f>'Army List'!$E34&amp;" "&amp;'Army List'!$D34</f>
        <v>– –</v>
      </c>
      <c r="M30">
        <f>VLOOKUP('Army List'!$D34,P1.CAPABILITY,2,FALSE)</f>
        <v>5</v>
      </c>
      <c r="N30">
        <f>VLOOKUP('Army List'!$F34,P1.QUALITY,2,FALSE)</f>
        <v>6</v>
      </c>
      <c r="O30" s="4">
        <f t="shared" si="0"/>
        <v>0</v>
      </c>
      <c r="P30" s="4">
        <f>VLOOKUP('Army List'!$G34,P1.SHOOTINGCOST,'Basis 1'!$M30,FALSE)</f>
        <v>0</v>
      </c>
      <c r="Q30" s="4">
        <f>VLOOKUP('Army List'!$H34,P1.IMPACTCOST,'Basis 1'!$M30,FALSE)</f>
        <v>0</v>
      </c>
      <c r="R30" s="4">
        <f>VLOOKUP('Army List'!$I34,P1.MELEECOST,'Basis 1'!$M30,FALSE)</f>
        <v>0</v>
      </c>
      <c r="S30" s="4">
        <f>IF('Army List'!$J34='Listen 1 '!$Q$11,1,0)</f>
        <v>0</v>
      </c>
      <c r="T30" s="4">
        <f>VLOOKUP('Army List'!$K34,P1.FORMATIONCOST,'Basis 1'!$M30,FALSE)</f>
        <v>0</v>
      </c>
      <c r="U30" s="26">
        <f t="shared" si="1"/>
        <v>0</v>
      </c>
      <c r="V30" s="25">
        <f>IF('Army List'!$J34='Listen 1 '!$Q$13,VLOOKUP('Army List'!$F34,P1.RGUN,4,FALSE),0)</f>
        <v>0</v>
      </c>
      <c r="W30" s="25">
        <f>IF('Army List'!$K34='Listen 1 '!$R$13,4,0)</f>
        <v>0</v>
      </c>
      <c r="X30" s="24">
        <f>U30*'Army List'!$L34+SUM($V30:$W30)</f>
        <v>0</v>
      </c>
      <c r="Y30" s="31">
        <f>'Army List'!$L34</f>
        <v>0</v>
      </c>
      <c r="Z30" s="28" t="str">
        <f>IF($Y30&gt;0,IF($K30=$K29,0,SUMIF(B1.OOM,'Army List'!$B34,B1.NOBASE)),"–")</f>
        <v>–</v>
      </c>
      <c r="AA30" s="29" t="str">
        <f t="shared" si="2"/>
        <v>–</v>
      </c>
      <c r="AB30" s="27" t="str">
        <f>IF($Z30=0,"",IF(ISERROR(ROUNDUP($Z30*VLOOKUP('Army List'!$F34,P1.AUTOBREAK,3,FALSE),0)),"–",ROUNDUP($Z30*VLOOKUP('Army List'!$F34,P1.AUTOBREAK,3,FALSE),0)))</f>
        <v>–</v>
      </c>
      <c r="AC30" s="27" t="str">
        <f>IF($Z30=0,"",IF($AB30="–","–",$Z30*VLOOKUP('Army List'!$F34,P1.AUTOBREAK,3,FALSE)))</f>
        <v>–</v>
      </c>
      <c r="AD30" s="30" t="str">
        <f t="shared" si="3"/>
        <v>–</v>
      </c>
      <c r="AE30" s="92">
        <f>VLOOKUP('Army List'!$D34,P1.MOUNTED,3,FALSE)*'Basis 1'!$Y30</f>
        <v>0</v>
      </c>
      <c r="AF30" s="4">
        <f t="shared" si="4"/>
        <v>0</v>
      </c>
      <c r="AG30" s="94">
        <f t="shared" si="5"/>
        <v>0</v>
      </c>
    </row>
    <row r="31" spans="11:33" ht="14.25">
      <c r="K31">
        <f>'Army List'!B35</f>
        <v>0</v>
      </c>
      <c r="L31" t="str">
        <f>'Army List'!$E35&amp;" "&amp;'Army List'!$D35</f>
        <v>– –</v>
      </c>
      <c r="M31">
        <f>VLOOKUP('Army List'!$D35,P1.CAPABILITY,2,FALSE)</f>
        <v>5</v>
      </c>
      <c r="N31">
        <f>VLOOKUP('Army List'!$F35,P1.QUALITY,2,FALSE)</f>
        <v>6</v>
      </c>
      <c r="O31" s="4">
        <f t="shared" si="0"/>
        <v>0</v>
      </c>
      <c r="P31" s="4">
        <f>VLOOKUP('Army List'!$G35,P1.SHOOTINGCOST,'Basis 1'!$M31,FALSE)</f>
        <v>0</v>
      </c>
      <c r="Q31" s="4">
        <f>VLOOKUP('Army List'!$H35,P1.IMPACTCOST,'Basis 1'!$M31,FALSE)</f>
        <v>0</v>
      </c>
      <c r="R31" s="4">
        <f>VLOOKUP('Army List'!$I35,P1.MELEECOST,'Basis 1'!$M31,FALSE)</f>
        <v>0</v>
      </c>
      <c r="S31" s="4">
        <f>IF('Army List'!$J35='Listen 1 '!$Q$11,1,0)</f>
        <v>0</v>
      </c>
      <c r="T31" s="4">
        <f>VLOOKUP('Army List'!$K35,P1.FORMATIONCOST,'Basis 1'!$M31,FALSE)</f>
        <v>0</v>
      </c>
      <c r="U31" s="26">
        <f t="shared" si="1"/>
        <v>0</v>
      </c>
      <c r="V31" s="25">
        <f>IF('Army List'!$J35='Listen 1 '!$Q$13,VLOOKUP('Army List'!$F35,P1.RGUN,4,FALSE),0)</f>
        <v>0</v>
      </c>
      <c r="W31" s="25">
        <f>IF('Army List'!$K35='Listen 1 '!$R$13,4,0)</f>
        <v>0</v>
      </c>
      <c r="X31" s="24">
        <f>U31*'Army List'!$L35+SUM($V31:$W31)</f>
        <v>0</v>
      </c>
      <c r="Y31" s="31">
        <f>'Army List'!$L35</f>
        <v>0</v>
      </c>
      <c r="Z31" s="28" t="str">
        <f>IF($Y31&gt;0,IF($K31=$K30,0,SUMIF(B1.OOM,'Army List'!$B35,B1.NOBASE)),"–")</f>
        <v>–</v>
      </c>
      <c r="AA31" s="29" t="str">
        <f t="shared" si="2"/>
        <v>–</v>
      </c>
      <c r="AB31" s="27" t="str">
        <f>IF($Z31=0,"",IF(ISERROR(ROUNDUP($Z31*VLOOKUP('Army List'!$F35,P1.AUTOBREAK,3,FALSE),0)),"–",ROUNDUP($Z31*VLOOKUP('Army List'!$F35,P1.AUTOBREAK,3,FALSE),0)))</f>
        <v>–</v>
      </c>
      <c r="AC31" s="27" t="str">
        <f>IF($Z31=0,"",IF($AB31="–","–",$Z31*VLOOKUP('Army List'!$F35,P1.AUTOBREAK,3,FALSE)))</f>
        <v>–</v>
      </c>
      <c r="AD31" s="30" t="str">
        <f t="shared" si="3"/>
        <v>–</v>
      </c>
      <c r="AE31" s="92">
        <f>VLOOKUP('Army List'!$D35,P1.MOUNTED,3,FALSE)*'Basis 1'!$Y31</f>
        <v>0</v>
      </c>
      <c r="AF31" s="4">
        <f t="shared" si="4"/>
        <v>0</v>
      </c>
      <c r="AG31" s="94">
        <f t="shared" si="5"/>
        <v>0</v>
      </c>
    </row>
    <row r="32" spans="11:33" ht="14.25">
      <c r="K32">
        <f>'Army List'!B36</f>
        <v>0</v>
      </c>
      <c r="L32" t="str">
        <f>'Army List'!$E36&amp;" "&amp;'Army List'!$D36</f>
        <v>– –</v>
      </c>
      <c r="M32">
        <f>VLOOKUP('Army List'!$D36,P1.CAPABILITY,2,FALSE)</f>
        <v>5</v>
      </c>
      <c r="N32">
        <f>VLOOKUP('Army List'!$F36,P1.QUALITY,2,FALSE)</f>
        <v>6</v>
      </c>
      <c r="O32" s="4">
        <f t="shared" si="0"/>
        <v>0</v>
      </c>
      <c r="P32" s="4">
        <f>VLOOKUP('Army List'!$G36,P1.SHOOTINGCOST,'Basis 1'!$M32,FALSE)</f>
        <v>0</v>
      </c>
      <c r="Q32" s="4">
        <f>VLOOKUP('Army List'!$H36,P1.IMPACTCOST,'Basis 1'!$M32,FALSE)</f>
        <v>0</v>
      </c>
      <c r="R32" s="4">
        <f>VLOOKUP('Army List'!$I36,P1.MELEECOST,'Basis 1'!$M32,FALSE)</f>
        <v>0</v>
      </c>
      <c r="S32" s="4">
        <f>IF('Army List'!$J36='Listen 1 '!$Q$11,1,0)</f>
        <v>0</v>
      </c>
      <c r="T32" s="4">
        <f>VLOOKUP('Army List'!$K36,P1.FORMATIONCOST,'Basis 1'!$M32,FALSE)</f>
        <v>0</v>
      </c>
      <c r="U32" s="26">
        <f t="shared" si="1"/>
        <v>0</v>
      </c>
      <c r="V32" s="25">
        <f>IF('Army List'!$J36='Listen 1 '!$Q$13,VLOOKUP('Army List'!$F36,P1.RGUN,4,FALSE),0)</f>
        <v>0</v>
      </c>
      <c r="W32" s="25">
        <f>IF('Army List'!$K36='Listen 1 '!$R$13,4,0)</f>
        <v>0</v>
      </c>
      <c r="X32" s="24">
        <f>U32*'Army List'!$L36+SUM($V32:$W32)</f>
        <v>0</v>
      </c>
      <c r="Y32" s="31">
        <f>'Army List'!$L36</f>
        <v>0</v>
      </c>
      <c r="Z32" s="28" t="str">
        <f>IF($Y32&gt;0,IF($K32=$K31,0,SUMIF(B1.OOM,'Army List'!$B36,B1.NOBASE)),"–")</f>
        <v>–</v>
      </c>
      <c r="AA32" s="29" t="str">
        <f t="shared" si="2"/>
        <v>–</v>
      </c>
      <c r="AB32" s="27" t="str">
        <f>IF($Z32=0,"",IF(ISERROR(ROUNDUP($Z32*VLOOKUP('Army List'!$F36,P1.AUTOBREAK,3,FALSE),0)),"–",ROUNDUP($Z32*VLOOKUP('Army List'!$F36,P1.AUTOBREAK,3,FALSE),0)))</f>
        <v>–</v>
      </c>
      <c r="AC32" s="27" t="str">
        <f>IF($Z32=0,"",IF($AB32="–","–",$Z32*VLOOKUP('Army List'!$F36,P1.AUTOBREAK,3,FALSE)))</f>
        <v>–</v>
      </c>
      <c r="AD32" s="30" t="str">
        <f t="shared" si="3"/>
        <v>–</v>
      </c>
      <c r="AE32" s="92">
        <f>VLOOKUP('Army List'!$D36,P1.MOUNTED,3,FALSE)*'Basis 1'!$Y32</f>
        <v>0</v>
      </c>
      <c r="AF32" s="4">
        <f t="shared" si="4"/>
        <v>0</v>
      </c>
      <c r="AG32" s="94">
        <f t="shared" si="5"/>
        <v>0</v>
      </c>
    </row>
    <row r="33" spans="11:33" ht="14.25">
      <c r="K33">
        <f>'Army List'!B37</f>
        <v>0</v>
      </c>
      <c r="L33" t="str">
        <f>'Army List'!$E37&amp;" "&amp;'Army List'!$D37</f>
        <v>– –</v>
      </c>
      <c r="M33">
        <f>VLOOKUP('Army List'!$D37,P1.CAPABILITY,2,FALSE)</f>
        <v>5</v>
      </c>
      <c r="N33">
        <f>VLOOKUP('Army List'!$F37,P1.QUALITY,2,FALSE)</f>
        <v>6</v>
      </c>
      <c r="O33" s="4">
        <f t="shared" si="0"/>
        <v>0</v>
      </c>
      <c r="P33" s="4">
        <f>VLOOKUP('Army List'!$G37,P1.SHOOTINGCOST,'Basis 1'!$M33,FALSE)</f>
        <v>0</v>
      </c>
      <c r="Q33" s="4">
        <f>VLOOKUP('Army List'!$H37,P1.IMPACTCOST,'Basis 1'!$M33,FALSE)</f>
        <v>0</v>
      </c>
      <c r="R33" s="4">
        <f>VLOOKUP('Army List'!$I37,P1.MELEECOST,'Basis 1'!$M33,FALSE)</f>
        <v>0</v>
      </c>
      <c r="S33" s="4">
        <f>IF('Army List'!$J37='Listen 1 '!$Q$11,1,0)</f>
        <v>0</v>
      </c>
      <c r="T33" s="4">
        <f>VLOOKUP('Army List'!$K37,P1.FORMATIONCOST,'Basis 1'!$M33,FALSE)</f>
        <v>0</v>
      </c>
      <c r="U33" s="26">
        <f t="shared" si="1"/>
        <v>0</v>
      </c>
      <c r="V33" s="25">
        <f>IF('Army List'!$J37='Listen 1 '!$Q$13,VLOOKUP('Army List'!$F37,P1.RGUN,4,FALSE),0)</f>
        <v>0</v>
      </c>
      <c r="W33" s="25">
        <f>IF('Army List'!$K37='Listen 1 '!$R$13,4,0)</f>
        <v>0</v>
      </c>
      <c r="X33" s="24">
        <f>U33*'Army List'!$L37+SUM($V33:$W33)</f>
        <v>0</v>
      </c>
      <c r="Y33" s="31">
        <f>'Army List'!$L37</f>
        <v>0</v>
      </c>
      <c r="Z33" s="28" t="str">
        <f>IF($Y33&gt;0,IF($K33=$K32,0,SUMIF(B1.OOM,'Army List'!$B37,B1.NOBASE)),"–")</f>
        <v>–</v>
      </c>
      <c r="AA33" s="29" t="str">
        <f t="shared" si="2"/>
        <v>–</v>
      </c>
      <c r="AB33" s="27" t="str">
        <f>IF($Z33=0,"",IF(ISERROR(ROUNDUP($Z33*VLOOKUP('Army List'!$F37,P1.AUTOBREAK,3,FALSE),0)),"–",ROUNDUP($Z33*VLOOKUP('Army List'!$F37,P1.AUTOBREAK,3,FALSE),0)))</f>
        <v>–</v>
      </c>
      <c r="AC33" s="27" t="str">
        <f>IF($Z33=0,"",IF($AB33="–","–",$Z33*VLOOKUP('Army List'!$F37,P1.AUTOBREAK,3,FALSE)))</f>
        <v>–</v>
      </c>
      <c r="AD33" s="30" t="str">
        <f t="shared" si="3"/>
        <v>–</v>
      </c>
      <c r="AE33" s="92">
        <f>VLOOKUP('Army List'!$D37,P1.MOUNTED,3,FALSE)*'Basis 1'!$Y33</f>
        <v>0</v>
      </c>
      <c r="AF33" s="4">
        <f t="shared" si="4"/>
        <v>0</v>
      </c>
      <c r="AG33" s="94">
        <f t="shared" si="5"/>
        <v>0</v>
      </c>
    </row>
    <row r="34" spans="11:33" ht="14.25">
      <c r="K34">
        <f>'Army List'!B38</f>
        <v>0</v>
      </c>
      <c r="L34" t="str">
        <f>'Army List'!$E38&amp;" "&amp;'Army List'!$D38</f>
        <v>– –</v>
      </c>
      <c r="M34">
        <f>VLOOKUP('Army List'!$D38,P1.CAPABILITY,2,FALSE)</f>
        <v>5</v>
      </c>
      <c r="N34">
        <f>VLOOKUP('Army List'!$F38,P1.QUALITY,2,FALSE)</f>
        <v>6</v>
      </c>
      <c r="O34" s="4">
        <f t="shared" si="0"/>
        <v>0</v>
      </c>
      <c r="P34" s="4">
        <f>VLOOKUP('Army List'!$G38,P1.SHOOTINGCOST,'Basis 1'!$M34,FALSE)</f>
        <v>0</v>
      </c>
      <c r="Q34" s="4">
        <f>VLOOKUP('Army List'!$H38,P1.IMPACTCOST,'Basis 1'!$M34,FALSE)</f>
        <v>0</v>
      </c>
      <c r="R34" s="4">
        <f>VLOOKUP('Army List'!$I38,P1.MELEECOST,'Basis 1'!$M34,FALSE)</f>
        <v>0</v>
      </c>
      <c r="S34" s="4">
        <f>IF('Army List'!$J38='Listen 1 '!$Q$11,1,0)</f>
        <v>0</v>
      </c>
      <c r="T34" s="4">
        <f>VLOOKUP('Army List'!$K38,P1.FORMATIONCOST,'Basis 1'!$M34,FALSE)</f>
        <v>0</v>
      </c>
      <c r="U34" s="26">
        <f t="shared" si="1"/>
        <v>0</v>
      </c>
      <c r="V34" s="25">
        <f>IF('Army List'!$J38='Listen 1 '!$Q$13,VLOOKUP('Army List'!$F38,P1.RGUN,4,FALSE),0)</f>
        <v>0</v>
      </c>
      <c r="W34" s="25">
        <f>IF('Army List'!$K38='Listen 1 '!$R$13,4,0)</f>
        <v>0</v>
      </c>
      <c r="X34" s="24">
        <f>U34*'Army List'!$L38+SUM($V34:$W34)</f>
        <v>0</v>
      </c>
      <c r="Y34" s="31">
        <f>'Army List'!$L38</f>
        <v>0</v>
      </c>
      <c r="Z34" s="28" t="str">
        <f>IF($Y34&gt;0,IF($K34=$K33,0,SUMIF(B1.OOM,'Army List'!$B38,B1.NOBASE)),"–")</f>
        <v>–</v>
      </c>
      <c r="AA34" s="29" t="str">
        <f t="shared" si="2"/>
        <v>–</v>
      </c>
      <c r="AB34" s="27" t="str">
        <f>IF($Z34=0,"",IF(ISERROR(ROUNDUP($Z34*VLOOKUP('Army List'!$F38,P1.AUTOBREAK,3,FALSE),0)),"–",ROUNDUP($Z34*VLOOKUP('Army List'!$F38,P1.AUTOBREAK,3,FALSE),0)))</f>
        <v>–</v>
      </c>
      <c r="AC34" s="27" t="str">
        <f>IF($Z34=0,"",IF($AB34="–","–",$Z34*VLOOKUP('Army List'!$F38,P1.AUTOBREAK,3,FALSE)))</f>
        <v>–</v>
      </c>
      <c r="AD34" s="30" t="str">
        <f t="shared" si="3"/>
        <v>–</v>
      </c>
      <c r="AE34" s="92">
        <f>VLOOKUP('Army List'!$D38,P1.MOUNTED,3,FALSE)*'Basis 1'!$Y34</f>
        <v>0</v>
      </c>
      <c r="AF34" s="4">
        <f t="shared" si="4"/>
        <v>0</v>
      </c>
      <c r="AG34" s="94">
        <f t="shared" si="5"/>
        <v>0</v>
      </c>
    </row>
    <row r="35" spans="11:33" ht="14.25">
      <c r="K35">
        <f>'Army List'!B39</f>
        <v>0</v>
      </c>
      <c r="L35" t="str">
        <f>'Army List'!$E39&amp;" "&amp;'Army List'!$D39</f>
        <v>– –</v>
      </c>
      <c r="M35">
        <f>VLOOKUP('Army List'!$D39,P1.CAPABILITY,2,FALSE)</f>
        <v>5</v>
      </c>
      <c r="N35">
        <f>VLOOKUP('Army List'!$F39,P1.QUALITY,2,FALSE)</f>
        <v>6</v>
      </c>
      <c r="O35" s="4">
        <f t="shared" si="0"/>
        <v>0</v>
      </c>
      <c r="P35" s="4">
        <f>VLOOKUP('Army List'!$G39,P1.SHOOTINGCOST,'Basis 1'!$M35,FALSE)</f>
        <v>0</v>
      </c>
      <c r="Q35" s="4">
        <f>VLOOKUP('Army List'!$H39,P1.IMPACTCOST,'Basis 1'!$M35,FALSE)</f>
        <v>0</v>
      </c>
      <c r="R35" s="4">
        <f>VLOOKUP('Army List'!$I39,P1.MELEECOST,'Basis 1'!$M35,FALSE)</f>
        <v>0</v>
      </c>
      <c r="S35" s="4">
        <f>IF('Army List'!$J39='Listen 1 '!$Q$11,1,0)</f>
        <v>0</v>
      </c>
      <c r="T35" s="4">
        <f>VLOOKUP('Army List'!$K39,P1.FORMATIONCOST,'Basis 1'!$M35,FALSE)</f>
        <v>0</v>
      </c>
      <c r="U35" s="26">
        <f t="shared" si="1"/>
        <v>0</v>
      </c>
      <c r="V35" s="25">
        <f>IF('Army List'!$J39='Listen 1 '!$Q$13,VLOOKUP('Army List'!$F39,P1.RGUN,4,FALSE),0)</f>
        <v>0</v>
      </c>
      <c r="W35" s="25">
        <f>IF('Army List'!$K39='Listen 1 '!$R$13,4,0)</f>
        <v>0</v>
      </c>
      <c r="X35" s="24">
        <f>U35*'Army List'!$L39+SUM($V35:$W35)</f>
        <v>0</v>
      </c>
      <c r="Y35" s="31">
        <f>'Army List'!$L39</f>
        <v>0</v>
      </c>
      <c r="Z35" s="28" t="str">
        <f>IF($Y35&gt;0,IF($K35=$K34,0,SUMIF(B1.OOM,'Army List'!$B39,B1.NOBASE)),"–")</f>
        <v>–</v>
      </c>
      <c r="AA35" s="29" t="str">
        <f t="shared" si="2"/>
        <v>–</v>
      </c>
      <c r="AB35" s="27" t="str">
        <f>IF($Z35=0,"",IF(ISERROR(ROUNDUP($Z35*VLOOKUP('Army List'!$F39,P1.AUTOBREAK,3,FALSE),0)),"–",ROUNDUP($Z35*VLOOKUP('Army List'!$F39,P1.AUTOBREAK,3,FALSE),0)))</f>
        <v>–</v>
      </c>
      <c r="AC35" s="27" t="str">
        <f>IF($Z35=0,"",IF($AB35="–","–",$Z35*VLOOKUP('Army List'!$F39,P1.AUTOBREAK,3,FALSE)))</f>
        <v>–</v>
      </c>
      <c r="AD35" s="30" t="str">
        <f t="shared" si="3"/>
        <v>–</v>
      </c>
      <c r="AE35" s="92">
        <f>VLOOKUP('Army List'!$D39,P1.MOUNTED,3,FALSE)*'Basis 1'!$Y35</f>
        <v>0</v>
      </c>
      <c r="AF35" s="4">
        <f t="shared" si="4"/>
        <v>0</v>
      </c>
      <c r="AG35" s="94">
        <f t="shared" si="5"/>
        <v>0</v>
      </c>
    </row>
    <row r="36" spans="11:33" ht="14.25">
      <c r="K36">
        <f>'Army List'!B40</f>
        <v>0</v>
      </c>
      <c r="L36" t="str">
        <f>'Army List'!$E40&amp;" "&amp;'Army List'!$D40</f>
        <v>– –</v>
      </c>
      <c r="M36">
        <f>VLOOKUP('Army List'!$D40,P1.CAPABILITY,2,FALSE)</f>
        <v>5</v>
      </c>
      <c r="N36">
        <f>VLOOKUP('Army List'!$F40,P1.QUALITY,2,FALSE)</f>
        <v>6</v>
      </c>
      <c r="O36" s="4">
        <f t="shared" si="0"/>
        <v>0</v>
      </c>
      <c r="P36" s="4">
        <f>VLOOKUP('Army List'!$G40,P1.SHOOTINGCOST,'Basis 1'!$M36,FALSE)</f>
        <v>0</v>
      </c>
      <c r="Q36" s="4">
        <f>VLOOKUP('Army List'!$H40,P1.IMPACTCOST,'Basis 1'!$M36,FALSE)</f>
        <v>0</v>
      </c>
      <c r="R36" s="4">
        <f>VLOOKUP('Army List'!$I40,P1.MELEECOST,'Basis 1'!$M36,FALSE)</f>
        <v>0</v>
      </c>
      <c r="S36" s="4">
        <f>IF('Army List'!$J40='Listen 1 '!$Q$11,1,0)</f>
        <v>0</v>
      </c>
      <c r="T36" s="4">
        <f>VLOOKUP('Army List'!$K40,P1.FORMATIONCOST,'Basis 1'!$M36,FALSE)</f>
        <v>0</v>
      </c>
      <c r="U36" s="26">
        <f t="shared" si="1"/>
        <v>0</v>
      </c>
      <c r="V36" s="25">
        <f>IF('Army List'!$J40='Listen 1 '!$Q$13,VLOOKUP('Army List'!$F40,P1.RGUN,4,FALSE),0)</f>
        <v>0</v>
      </c>
      <c r="W36" s="25">
        <f>IF('Army List'!$K40='Listen 1 '!$R$13,4,0)</f>
        <v>0</v>
      </c>
      <c r="X36" s="24">
        <f>U36*'Army List'!$L40+SUM($V36:$W36)</f>
        <v>0</v>
      </c>
      <c r="Y36" s="31">
        <f>'Army List'!$L40</f>
        <v>0</v>
      </c>
      <c r="Z36" s="28" t="str">
        <f>IF($Y36&gt;0,IF($K36=$K35,0,SUMIF(B1.OOM,'Army List'!$B40,B1.NOBASE)),"–")</f>
        <v>–</v>
      </c>
      <c r="AA36" s="29" t="str">
        <f t="shared" si="2"/>
        <v>–</v>
      </c>
      <c r="AB36" s="27" t="str">
        <f>IF($Z36=0,"",IF(ISERROR(ROUNDUP($Z36*VLOOKUP('Army List'!$F40,P1.AUTOBREAK,3,FALSE),0)),"–",ROUNDUP($Z36*VLOOKUP('Army List'!$F40,P1.AUTOBREAK,3,FALSE),0)))</f>
        <v>–</v>
      </c>
      <c r="AC36" s="27" t="str">
        <f>IF($Z36=0,"",IF($AB36="–","–",$Z36*VLOOKUP('Army List'!$F40,P1.AUTOBREAK,3,FALSE)))</f>
        <v>–</v>
      </c>
      <c r="AD36" s="30" t="str">
        <f t="shared" si="3"/>
        <v>–</v>
      </c>
      <c r="AE36" s="92">
        <f>VLOOKUP('Army List'!$D40,P1.MOUNTED,3,FALSE)*'Basis 1'!$Y36</f>
        <v>0</v>
      </c>
      <c r="AF36" s="4">
        <f t="shared" si="4"/>
        <v>0</v>
      </c>
      <c r="AG36" s="94">
        <f t="shared" si="5"/>
        <v>0</v>
      </c>
    </row>
    <row r="37" spans="11:33" ht="14.25">
      <c r="K37">
        <f>'Army List'!B41</f>
        <v>0</v>
      </c>
      <c r="L37" t="str">
        <f>'Army List'!$E41&amp;" "&amp;'Army List'!$D41</f>
        <v>– –</v>
      </c>
      <c r="M37">
        <f>VLOOKUP('Army List'!$D41,P1.CAPABILITY,2,FALSE)</f>
        <v>5</v>
      </c>
      <c r="N37">
        <f>VLOOKUP('Army List'!$F41,P1.QUALITY,2,FALSE)</f>
        <v>6</v>
      </c>
      <c r="O37" s="4">
        <f t="shared" si="0"/>
        <v>0</v>
      </c>
      <c r="P37" s="4">
        <f>VLOOKUP('Army List'!$G41,P1.SHOOTINGCOST,'Basis 1'!$M37,FALSE)</f>
        <v>0</v>
      </c>
      <c r="Q37" s="4">
        <f>VLOOKUP('Army List'!$H41,P1.IMPACTCOST,'Basis 1'!$M37,FALSE)</f>
        <v>0</v>
      </c>
      <c r="R37" s="4">
        <f>VLOOKUP('Army List'!$I41,P1.MELEECOST,'Basis 1'!$M37,FALSE)</f>
        <v>0</v>
      </c>
      <c r="S37" s="4">
        <f>IF('Army List'!$J41='Listen 1 '!$Q$11,1,0)</f>
        <v>0</v>
      </c>
      <c r="T37" s="4">
        <f>VLOOKUP('Army List'!$K41,P1.FORMATIONCOST,'Basis 1'!$M37,FALSE)</f>
        <v>0</v>
      </c>
      <c r="U37" s="26">
        <f t="shared" si="1"/>
        <v>0</v>
      </c>
      <c r="V37" s="25">
        <f>IF('Army List'!$J41='Listen 1 '!$Q$13,VLOOKUP('Army List'!$F41,P1.RGUN,4,FALSE),0)</f>
        <v>0</v>
      </c>
      <c r="W37" s="25">
        <f>IF('Army List'!$K41='Listen 1 '!$R$13,4,0)</f>
        <v>0</v>
      </c>
      <c r="X37" s="24">
        <f>U37*'Army List'!$L41+SUM($V37:$W37)</f>
        <v>0</v>
      </c>
      <c r="Y37" s="31">
        <f>'Army List'!$L41</f>
        <v>0</v>
      </c>
      <c r="Z37" s="28" t="str">
        <f>IF($Y37&gt;0,IF($K37=$K36,0,SUMIF(B1.OOM,'Army List'!$B41,B1.NOBASE)),"–")</f>
        <v>–</v>
      </c>
      <c r="AA37" s="29" t="str">
        <f t="shared" si="2"/>
        <v>–</v>
      </c>
      <c r="AB37" s="27" t="str">
        <f>IF($Z37=0,"",IF(ISERROR(ROUNDUP($Z37*VLOOKUP('Army List'!$F41,P1.AUTOBREAK,3,FALSE),0)),"–",ROUNDUP($Z37*VLOOKUP('Army List'!$F41,P1.AUTOBREAK,3,FALSE),0)))</f>
        <v>–</v>
      </c>
      <c r="AC37" s="27" t="str">
        <f>IF($Z37=0,"",IF($AB37="–","–",$Z37*VLOOKUP('Army List'!$F41,P1.AUTOBREAK,3,FALSE)))</f>
        <v>–</v>
      </c>
      <c r="AD37" s="30" t="str">
        <f t="shared" si="3"/>
        <v>–</v>
      </c>
      <c r="AE37" s="92">
        <f>VLOOKUP('Army List'!$D41,P1.MOUNTED,3,FALSE)*'Basis 1'!$Y37</f>
        <v>0</v>
      </c>
      <c r="AF37" s="4">
        <f t="shared" si="4"/>
        <v>0</v>
      </c>
      <c r="AG37" s="94">
        <f t="shared" si="5"/>
        <v>0</v>
      </c>
    </row>
    <row r="38" spans="11:33" ht="14.25">
      <c r="K38">
        <f>'Army List'!B42</f>
        <v>0</v>
      </c>
      <c r="L38" t="str">
        <f>'Army List'!$E42&amp;" "&amp;'Army List'!$D42</f>
        <v>– –</v>
      </c>
      <c r="M38">
        <f>VLOOKUP('Army List'!$D42,P1.CAPABILITY,2,FALSE)</f>
        <v>5</v>
      </c>
      <c r="N38">
        <f>VLOOKUP('Army List'!$F42,P1.QUALITY,2,FALSE)</f>
        <v>6</v>
      </c>
      <c r="O38" s="4">
        <f t="shared" si="0"/>
        <v>0</v>
      </c>
      <c r="P38" s="4">
        <f>VLOOKUP('Army List'!$G42,P1.SHOOTINGCOST,'Basis 1'!$M38,FALSE)</f>
        <v>0</v>
      </c>
      <c r="Q38" s="4">
        <f>VLOOKUP('Army List'!$H42,P1.IMPACTCOST,'Basis 1'!$M38,FALSE)</f>
        <v>0</v>
      </c>
      <c r="R38" s="4">
        <f>VLOOKUP('Army List'!$I42,P1.MELEECOST,'Basis 1'!$M38,FALSE)</f>
        <v>0</v>
      </c>
      <c r="S38" s="4">
        <f>IF('Army List'!$J42='Listen 1 '!$Q$11,1,0)</f>
        <v>0</v>
      </c>
      <c r="T38" s="4">
        <f>VLOOKUP('Army List'!$K42,P1.FORMATIONCOST,'Basis 1'!$M38,FALSE)</f>
        <v>0</v>
      </c>
      <c r="U38" s="26">
        <f t="shared" si="1"/>
        <v>0</v>
      </c>
      <c r="V38" s="25">
        <f>IF('Army List'!$J42='Listen 1 '!$Q$13,VLOOKUP('Army List'!$F42,P1.RGUN,4,FALSE),0)</f>
        <v>0</v>
      </c>
      <c r="W38" s="25">
        <f>IF('Army List'!$K42='Listen 1 '!$R$13,4,0)</f>
        <v>0</v>
      </c>
      <c r="X38" s="24">
        <f>U38*'Army List'!$L42+SUM($V38:$W38)</f>
        <v>0</v>
      </c>
      <c r="Y38" s="31">
        <f>'Army List'!$L42</f>
        <v>0</v>
      </c>
      <c r="Z38" s="28" t="str">
        <f>IF($Y38&gt;0,IF($K38=$K37,0,SUMIF(B1.OOM,'Army List'!$B42,B1.NOBASE)),"–")</f>
        <v>–</v>
      </c>
      <c r="AA38" s="29" t="str">
        <f t="shared" si="2"/>
        <v>–</v>
      </c>
      <c r="AB38" s="27" t="str">
        <f>IF($Z38=0,"",IF(ISERROR(ROUNDUP($Z38*VLOOKUP('Army List'!$F42,P1.AUTOBREAK,3,FALSE),0)),"–",ROUNDUP($Z38*VLOOKUP('Army List'!$F42,P1.AUTOBREAK,3,FALSE),0)))</f>
        <v>–</v>
      </c>
      <c r="AC38" s="27" t="str">
        <f>IF($Z38=0,"",IF($AB38="–","–",$Z38*VLOOKUP('Army List'!$F42,P1.AUTOBREAK,3,FALSE)))</f>
        <v>–</v>
      </c>
      <c r="AD38" s="30" t="str">
        <f t="shared" si="3"/>
        <v>–</v>
      </c>
      <c r="AE38" s="92">
        <f>VLOOKUP('Army List'!$D42,P1.MOUNTED,3,FALSE)*'Basis 1'!$Y38</f>
        <v>0</v>
      </c>
      <c r="AF38" s="4">
        <f t="shared" si="4"/>
        <v>0</v>
      </c>
      <c r="AG38" s="94">
        <f t="shared" si="5"/>
        <v>0</v>
      </c>
    </row>
    <row r="39" spans="11:33" ht="14.25">
      <c r="K39">
        <f>'Army List'!B43</f>
        <v>0</v>
      </c>
      <c r="L39" t="str">
        <f>'Army List'!$E43&amp;" "&amp;'Army List'!$D43</f>
        <v>– –</v>
      </c>
      <c r="M39">
        <f>VLOOKUP('Army List'!$D43,P1.CAPABILITY,2,FALSE)</f>
        <v>5</v>
      </c>
      <c r="N39">
        <f>VLOOKUP('Army List'!$F43,P1.QUALITY,2,FALSE)</f>
        <v>6</v>
      </c>
      <c r="O39" s="4">
        <f t="shared" si="0"/>
        <v>0</v>
      </c>
      <c r="P39" s="4">
        <f>VLOOKUP('Army List'!$G43,P1.SHOOTINGCOST,'Basis 1'!$M39,FALSE)</f>
        <v>0</v>
      </c>
      <c r="Q39" s="4">
        <f>VLOOKUP('Army List'!$H43,P1.IMPACTCOST,'Basis 1'!$M39,FALSE)</f>
        <v>0</v>
      </c>
      <c r="R39" s="4">
        <f>VLOOKUP('Army List'!$I43,P1.MELEECOST,'Basis 1'!$M39,FALSE)</f>
        <v>0</v>
      </c>
      <c r="S39" s="4">
        <f>IF('Army List'!$J43='Listen 1 '!$Q$11,1,0)</f>
        <v>0</v>
      </c>
      <c r="T39" s="4">
        <f>VLOOKUP('Army List'!$K43,P1.FORMATIONCOST,'Basis 1'!$M39,FALSE)</f>
        <v>0</v>
      </c>
      <c r="U39" s="26">
        <f t="shared" si="1"/>
        <v>0</v>
      </c>
      <c r="V39" s="25">
        <f>IF('Army List'!$J43='Listen 1 '!$Q$13,VLOOKUP('Army List'!$F43,P1.RGUN,4,FALSE),0)</f>
        <v>0</v>
      </c>
      <c r="W39" s="25">
        <f>IF('Army List'!$K43='Listen 1 '!$R$13,4,0)</f>
        <v>0</v>
      </c>
      <c r="X39" s="24">
        <f>U39*'Army List'!$L43+SUM($V39:$W39)</f>
        <v>0</v>
      </c>
      <c r="Y39" s="31">
        <f>'Army List'!$L43</f>
        <v>0</v>
      </c>
      <c r="Z39" s="28" t="str">
        <f>IF($Y39&gt;0,IF($K39=$K38,0,SUMIF(B1.OOM,'Army List'!$B43,B1.NOBASE)),"–")</f>
        <v>–</v>
      </c>
      <c r="AA39" s="29" t="str">
        <f t="shared" si="2"/>
        <v>–</v>
      </c>
      <c r="AB39" s="27" t="str">
        <f>IF($Z39=0,"",IF(ISERROR(ROUNDUP($Z39*VLOOKUP('Army List'!$F43,P1.AUTOBREAK,3,FALSE),0)),"–",ROUNDUP($Z39*VLOOKUP('Army List'!$F43,P1.AUTOBREAK,3,FALSE),0)))</f>
        <v>–</v>
      </c>
      <c r="AC39" s="27" t="str">
        <f>IF($Z39=0,"",IF($AB39="–","–",$Z39*VLOOKUP('Army List'!$F43,P1.AUTOBREAK,3,FALSE)))</f>
        <v>–</v>
      </c>
      <c r="AD39" s="30" t="str">
        <f t="shared" si="3"/>
        <v>–</v>
      </c>
      <c r="AE39" s="92">
        <f>VLOOKUP('Army List'!$D43,P1.MOUNTED,3,FALSE)*'Basis 1'!$Y39</f>
        <v>0</v>
      </c>
      <c r="AF39" s="4">
        <f t="shared" si="4"/>
        <v>0</v>
      </c>
      <c r="AG39" s="94">
        <f t="shared" si="5"/>
        <v>0</v>
      </c>
    </row>
    <row r="40" spans="11:33" ht="14.25">
      <c r="K40">
        <f>'Army List'!B44</f>
        <v>0</v>
      </c>
      <c r="L40" t="str">
        <f>'Army List'!$E44&amp;" "&amp;'Army List'!$D44</f>
        <v>– –</v>
      </c>
      <c r="M40">
        <f>VLOOKUP('Army List'!$D44,P1.CAPABILITY,2,FALSE)</f>
        <v>5</v>
      </c>
      <c r="N40">
        <f>VLOOKUP('Army List'!$F44,P1.QUALITY,2,FALSE)</f>
        <v>6</v>
      </c>
      <c r="O40" s="4">
        <f t="shared" si="0"/>
        <v>0</v>
      </c>
      <c r="P40" s="4">
        <f>VLOOKUP('Army List'!$G44,P1.SHOOTINGCOST,'Basis 1'!$M40,FALSE)</f>
        <v>0</v>
      </c>
      <c r="Q40" s="4">
        <f>VLOOKUP('Army List'!$H44,P1.IMPACTCOST,'Basis 1'!$M40,FALSE)</f>
        <v>0</v>
      </c>
      <c r="R40" s="4">
        <f>VLOOKUP('Army List'!$I44,P1.MELEECOST,'Basis 1'!$M40,FALSE)</f>
        <v>0</v>
      </c>
      <c r="S40" s="4">
        <f>IF('Army List'!$J44='Listen 1 '!$Q$11,1,0)</f>
        <v>0</v>
      </c>
      <c r="T40" s="4">
        <f>VLOOKUP('Army List'!$K44,P1.FORMATIONCOST,'Basis 1'!$M40,FALSE)</f>
        <v>0</v>
      </c>
      <c r="U40" s="26">
        <f t="shared" si="1"/>
        <v>0</v>
      </c>
      <c r="V40" s="25">
        <f>IF('Army List'!$J44='Listen 1 '!$Q$13,VLOOKUP('Army List'!$F44,P1.RGUN,4,FALSE),0)</f>
        <v>0</v>
      </c>
      <c r="W40" s="25">
        <f>IF('Army List'!$K44='Listen 1 '!$R$13,4,0)</f>
        <v>0</v>
      </c>
      <c r="X40" s="24">
        <f>U40*'Army List'!$L44+SUM($V40:$W40)</f>
        <v>0</v>
      </c>
      <c r="Y40" s="31">
        <f>'Army List'!$L44</f>
        <v>0</v>
      </c>
      <c r="Z40" s="28" t="str">
        <f>IF($Y40&gt;0,IF($K40=$K39,0,SUMIF(B1.OOM,'Army List'!$B44,B1.NOBASE)),"–")</f>
        <v>–</v>
      </c>
      <c r="AA40" s="29" t="str">
        <f t="shared" si="2"/>
        <v>–</v>
      </c>
      <c r="AB40" s="27" t="str">
        <f>IF($Z40=0,"",IF(ISERROR(ROUNDUP($Z40*VLOOKUP('Army List'!$F44,P1.AUTOBREAK,3,FALSE),0)),"–",ROUNDUP($Z40*VLOOKUP('Army List'!$F44,P1.AUTOBREAK,3,FALSE),0)))</f>
        <v>–</v>
      </c>
      <c r="AC40" s="27" t="str">
        <f>IF($Z40=0,"",IF($AB40="–","–",$Z40*VLOOKUP('Army List'!$F44,P1.AUTOBREAK,3,FALSE)))</f>
        <v>–</v>
      </c>
      <c r="AD40" s="30" t="str">
        <f t="shared" si="3"/>
        <v>–</v>
      </c>
      <c r="AE40" s="92">
        <f>VLOOKUP('Army List'!$D44,P1.MOUNTED,3,FALSE)*'Basis 1'!$Y40</f>
        <v>0</v>
      </c>
      <c r="AF40" s="4">
        <f t="shared" si="4"/>
        <v>0</v>
      </c>
      <c r="AG40" s="94">
        <f t="shared" si="5"/>
        <v>0</v>
      </c>
    </row>
    <row r="41" spans="11:33" ht="14.25">
      <c r="K41">
        <f>'Army List'!B45</f>
        <v>0</v>
      </c>
      <c r="L41" t="str">
        <f>'Army List'!$E45&amp;" "&amp;'Army List'!$D45</f>
        <v>– –</v>
      </c>
      <c r="M41">
        <f>VLOOKUP('Army List'!$D45,P1.CAPABILITY,2,FALSE)</f>
        <v>5</v>
      </c>
      <c r="N41">
        <f>VLOOKUP('Army List'!$F45,P1.QUALITY,2,FALSE)</f>
        <v>6</v>
      </c>
      <c r="O41" s="4">
        <f t="shared" si="0"/>
        <v>0</v>
      </c>
      <c r="P41" s="4">
        <f>VLOOKUP('Army List'!$G45,P1.SHOOTINGCOST,'Basis 1'!$M41,FALSE)</f>
        <v>0</v>
      </c>
      <c r="Q41" s="4">
        <f>VLOOKUP('Army List'!$H45,P1.IMPACTCOST,'Basis 1'!$M41,FALSE)</f>
        <v>0</v>
      </c>
      <c r="R41" s="4">
        <f>VLOOKUP('Army List'!$I45,P1.MELEECOST,'Basis 1'!$M41,FALSE)</f>
        <v>0</v>
      </c>
      <c r="S41" s="4">
        <f>IF('Army List'!$J45='Listen 1 '!$Q$11,1,0)</f>
        <v>0</v>
      </c>
      <c r="T41" s="4">
        <f>VLOOKUP('Army List'!$K45,P1.FORMATIONCOST,'Basis 1'!$M41,FALSE)</f>
        <v>0</v>
      </c>
      <c r="U41" s="26">
        <f t="shared" si="1"/>
        <v>0</v>
      </c>
      <c r="V41" s="25">
        <f>IF('Army List'!$J45='Listen 1 '!$Q$13,VLOOKUP('Army List'!$F45,P1.RGUN,4,FALSE),0)</f>
        <v>0</v>
      </c>
      <c r="W41" s="25">
        <f>IF('Army List'!$K45='Listen 1 '!$R$13,4,0)</f>
        <v>0</v>
      </c>
      <c r="X41" s="24">
        <f>U41*'Army List'!$L45+SUM($V41:$W41)</f>
        <v>0</v>
      </c>
      <c r="Y41" s="31">
        <f>'Army List'!$L45</f>
        <v>0</v>
      </c>
      <c r="Z41" s="28" t="str">
        <f>IF($Y41&gt;0,IF($K41=$K40,0,SUMIF(B1.OOM,'Army List'!$B45,B1.NOBASE)),"–")</f>
        <v>–</v>
      </c>
      <c r="AA41" s="29" t="str">
        <f t="shared" si="2"/>
        <v>–</v>
      </c>
      <c r="AB41" s="27" t="str">
        <f>IF($Z41=0,"",IF(ISERROR(ROUNDUP($Z41*VLOOKUP('Army List'!$F45,P1.AUTOBREAK,3,FALSE),0)),"–",ROUNDUP($Z41*VLOOKUP('Army List'!$F45,P1.AUTOBREAK,3,FALSE),0)))</f>
        <v>–</v>
      </c>
      <c r="AC41" s="27" t="str">
        <f>IF($Z41=0,"",IF($AB41="–","–",$Z41*VLOOKUP('Army List'!$F45,P1.AUTOBREAK,3,FALSE)))</f>
        <v>–</v>
      </c>
      <c r="AD41" s="30" t="str">
        <f t="shared" si="3"/>
        <v>–</v>
      </c>
      <c r="AE41" s="92">
        <f>VLOOKUP('Army List'!$D45,P1.MOUNTED,3,FALSE)*'Basis 1'!$Y41</f>
        <v>0</v>
      </c>
      <c r="AF41" s="4">
        <f t="shared" si="4"/>
        <v>0</v>
      </c>
      <c r="AG41" s="94">
        <f t="shared" si="5"/>
        <v>0</v>
      </c>
    </row>
    <row r="42" spans="11:33" ht="14.25">
      <c r="K42">
        <f>'Army List'!B46</f>
        <v>0</v>
      </c>
      <c r="L42" t="str">
        <f>'Army List'!$E46&amp;" "&amp;'Army List'!$D46</f>
        <v>– –</v>
      </c>
      <c r="M42">
        <f>VLOOKUP('Army List'!$D46,P1.CAPABILITY,2,FALSE)</f>
        <v>5</v>
      </c>
      <c r="N42">
        <f>VLOOKUP('Army List'!$F46,P1.QUALITY,2,FALSE)</f>
        <v>6</v>
      </c>
      <c r="O42" s="4">
        <f t="shared" si="0"/>
        <v>0</v>
      </c>
      <c r="P42" s="4">
        <f>VLOOKUP('Army List'!$G46,P1.SHOOTINGCOST,'Basis 1'!$M42,FALSE)</f>
        <v>0</v>
      </c>
      <c r="Q42" s="4">
        <f>VLOOKUP('Army List'!$H46,P1.IMPACTCOST,'Basis 1'!$M42,FALSE)</f>
        <v>0</v>
      </c>
      <c r="R42" s="4">
        <f>VLOOKUP('Army List'!$I46,P1.MELEECOST,'Basis 1'!$M42,FALSE)</f>
        <v>0</v>
      </c>
      <c r="S42" s="4">
        <f>IF('Army List'!$J46='Listen 1 '!$Q$11,1,0)</f>
        <v>0</v>
      </c>
      <c r="T42" s="4">
        <f>VLOOKUP('Army List'!$K46,P1.FORMATIONCOST,'Basis 1'!$M42,FALSE)</f>
        <v>0</v>
      </c>
      <c r="U42" s="26">
        <f t="shared" si="1"/>
        <v>0</v>
      </c>
      <c r="V42" s="25">
        <f>IF('Army List'!$J46='Listen 1 '!$Q$13,VLOOKUP('Army List'!$F46,P1.RGUN,4,FALSE),0)</f>
        <v>0</v>
      </c>
      <c r="W42" s="25">
        <f>IF('Army List'!$K46='Listen 1 '!$R$13,4,0)</f>
        <v>0</v>
      </c>
      <c r="X42" s="24">
        <f>U42*'Army List'!$L46+SUM($V42:$W42)</f>
        <v>0</v>
      </c>
      <c r="Y42" s="31">
        <f>'Army List'!$L46</f>
        <v>0</v>
      </c>
      <c r="Z42" s="28" t="str">
        <f>IF($Y42&gt;0,IF($K42=$K41,0,SUMIF(B1.OOM,'Army List'!$B46,B1.NOBASE)),"–")</f>
        <v>–</v>
      </c>
      <c r="AA42" s="29" t="str">
        <f t="shared" si="2"/>
        <v>–</v>
      </c>
      <c r="AB42" s="27" t="str">
        <f>IF($Z42=0,"",IF(ISERROR(ROUNDUP($Z42*VLOOKUP('Army List'!$F46,P1.AUTOBREAK,3,FALSE),0)),"–",ROUNDUP($Z42*VLOOKUP('Army List'!$F46,P1.AUTOBREAK,3,FALSE),0)))</f>
        <v>–</v>
      </c>
      <c r="AC42" s="27" t="str">
        <f>IF($Z42=0,"",IF($AB42="–","–",$Z42*VLOOKUP('Army List'!$F46,P1.AUTOBREAK,3,FALSE)))</f>
        <v>–</v>
      </c>
      <c r="AD42" s="30" t="str">
        <f t="shared" si="3"/>
        <v>–</v>
      </c>
      <c r="AE42" s="92">
        <f>VLOOKUP('Army List'!$D46,P1.MOUNTED,3,FALSE)*'Basis 1'!$Y42</f>
        <v>0</v>
      </c>
      <c r="AF42" s="4">
        <f t="shared" si="4"/>
        <v>0</v>
      </c>
      <c r="AG42" s="94">
        <f t="shared" si="5"/>
        <v>0</v>
      </c>
    </row>
    <row r="43" spans="11:33" ht="14.25">
      <c r="K43">
        <f>'Army List'!B47</f>
        <v>0</v>
      </c>
      <c r="L43" t="str">
        <f>'Army List'!$E47&amp;" "&amp;'Army List'!$D47</f>
        <v>– –</v>
      </c>
      <c r="M43">
        <f>VLOOKUP('Army List'!$D47,P1.CAPABILITY,2,FALSE)</f>
        <v>5</v>
      </c>
      <c r="N43">
        <f>VLOOKUP('Army List'!$F47,P1.QUALITY,2,FALSE)</f>
        <v>6</v>
      </c>
      <c r="O43" s="4">
        <f t="shared" si="0"/>
        <v>0</v>
      </c>
      <c r="P43" s="4">
        <f>VLOOKUP('Army List'!$G47,P1.SHOOTINGCOST,'Basis 1'!$M43,FALSE)</f>
        <v>0</v>
      </c>
      <c r="Q43" s="4">
        <f>VLOOKUP('Army List'!$H47,P1.IMPACTCOST,'Basis 1'!$M43,FALSE)</f>
        <v>0</v>
      </c>
      <c r="R43" s="4">
        <f>VLOOKUP('Army List'!$I47,P1.MELEECOST,'Basis 1'!$M43,FALSE)</f>
        <v>0</v>
      </c>
      <c r="S43" s="4">
        <f>IF('Army List'!$J47='Listen 1 '!$Q$11,1,0)</f>
        <v>0</v>
      </c>
      <c r="T43" s="4">
        <f>VLOOKUP('Army List'!$K47,P1.FORMATIONCOST,'Basis 1'!$M43,FALSE)</f>
        <v>0</v>
      </c>
      <c r="U43" s="26">
        <f t="shared" si="1"/>
        <v>0</v>
      </c>
      <c r="V43" s="25">
        <f>IF('Army List'!$J47='Listen 1 '!$Q$13,VLOOKUP('Army List'!$F47,P1.RGUN,4,FALSE),0)</f>
        <v>0</v>
      </c>
      <c r="W43" s="25">
        <f>IF('Army List'!$K47='Listen 1 '!$R$13,4,0)</f>
        <v>0</v>
      </c>
      <c r="X43" s="24">
        <f>U43*'Army List'!$L47+SUM($V43:$W43)</f>
        <v>0</v>
      </c>
      <c r="Y43" s="31">
        <f>'Army List'!$L47</f>
        <v>0</v>
      </c>
      <c r="Z43" s="28" t="str">
        <f>IF($Y43&gt;0,IF($K43=$K42,0,SUMIF(B1.OOM,'Army List'!$B47,B1.NOBASE)),"–")</f>
        <v>–</v>
      </c>
      <c r="AA43" s="29" t="str">
        <f t="shared" si="2"/>
        <v>–</v>
      </c>
      <c r="AB43" s="27" t="str">
        <f>IF($Z43=0,"",IF(ISERROR(ROUNDUP($Z43*VLOOKUP('Army List'!$F47,P1.AUTOBREAK,3,FALSE),0)),"–",ROUNDUP($Z43*VLOOKUP('Army List'!$F47,P1.AUTOBREAK,3,FALSE),0)))</f>
        <v>–</v>
      </c>
      <c r="AC43" s="27" t="str">
        <f>IF($Z43=0,"",IF($AB43="–","–",$Z43*VLOOKUP('Army List'!$F47,P1.AUTOBREAK,3,FALSE)))</f>
        <v>–</v>
      </c>
      <c r="AD43" s="30" t="str">
        <f t="shared" si="3"/>
        <v>–</v>
      </c>
      <c r="AE43" s="92">
        <f>VLOOKUP('Army List'!$D47,P1.MOUNTED,3,FALSE)*'Basis 1'!$Y43</f>
        <v>0</v>
      </c>
      <c r="AF43" s="4">
        <f t="shared" si="4"/>
        <v>0</v>
      </c>
      <c r="AG43" s="94">
        <f t="shared" si="5"/>
        <v>0</v>
      </c>
    </row>
    <row r="44" spans="11:33" ht="14.25">
      <c r="K44">
        <f>'Army List'!B48</f>
        <v>0</v>
      </c>
      <c r="L44" t="str">
        <f>'Army List'!$E48&amp;" "&amp;'Army List'!$D48</f>
        <v>– –</v>
      </c>
      <c r="M44">
        <f>VLOOKUP('Army List'!$D48,P1.CAPABILITY,2,FALSE)</f>
        <v>5</v>
      </c>
      <c r="N44">
        <f>VLOOKUP('Army List'!$F48,P1.QUALITY,2,FALSE)</f>
        <v>6</v>
      </c>
      <c r="O44" s="4">
        <f t="shared" si="0"/>
        <v>0</v>
      </c>
      <c r="P44" s="4">
        <f>VLOOKUP('Army List'!$G48,P1.SHOOTINGCOST,'Basis 1'!$M44,FALSE)</f>
        <v>0</v>
      </c>
      <c r="Q44" s="4">
        <f>VLOOKUP('Army List'!$H48,P1.IMPACTCOST,'Basis 1'!$M44,FALSE)</f>
        <v>0</v>
      </c>
      <c r="R44" s="4">
        <f>VLOOKUP('Army List'!$I48,P1.MELEECOST,'Basis 1'!$M44,FALSE)</f>
        <v>0</v>
      </c>
      <c r="S44" s="4">
        <f>IF('Army List'!$J48='Listen 1 '!$Q$11,1,0)</f>
        <v>0</v>
      </c>
      <c r="T44" s="4">
        <f>VLOOKUP('Army List'!$K48,P1.FORMATIONCOST,'Basis 1'!$M44,FALSE)</f>
        <v>0</v>
      </c>
      <c r="U44" s="26">
        <f t="shared" si="1"/>
        <v>0</v>
      </c>
      <c r="V44" s="25">
        <f>IF('Army List'!$J48='Listen 1 '!$Q$13,VLOOKUP('Army List'!$F48,P1.RGUN,4,FALSE),0)</f>
        <v>0</v>
      </c>
      <c r="W44" s="25">
        <f>IF('Army List'!$K48='Listen 1 '!$R$13,4,0)</f>
        <v>0</v>
      </c>
      <c r="X44" s="24">
        <f>U44*'Army List'!$L48+SUM($V44:$W44)</f>
        <v>0</v>
      </c>
      <c r="Y44" s="31">
        <f>'Army List'!$L48</f>
        <v>0</v>
      </c>
      <c r="Z44" s="28" t="str">
        <f>IF($Y44&gt;0,IF($K44=$K43,0,SUMIF(B1.OOM,'Army List'!$B48,B1.NOBASE)),"–")</f>
        <v>–</v>
      </c>
      <c r="AA44" s="29" t="str">
        <f t="shared" si="2"/>
        <v>–</v>
      </c>
      <c r="AB44" s="27" t="str">
        <f>IF($Z44=0,"",IF(ISERROR(ROUNDUP($Z44*VLOOKUP('Army List'!$F48,P1.AUTOBREAK,3,FALSE),0)),"–",ROUNDUP($Z44*VLOOKUP('Army List'!$F48,P1.AUTOBREAK,3,FALSE),0)))</f>
        <v>–</v>
      </c>
      <c r="AC44" s="27" t="str">
        <f>IF($Z44=0,"",IF($AB44="–","–",$Z44*VLOOKUP('Army List'!$F48,P1.AUTOBREAK,3,FALSE)))</f>
        <v>–</v>
      </c>
      <c r="AD44" s="30" t="str">
        <f t="shared" si="3"/>
        <v>–</v>
      </c>
      <c r="AE44" s="92">
        <f>VLOOKUP('Army List'!$D48,P1.MOUNTED,3,FALSE)*'Basis 1'!$Y44</f>
        <v>0</v>
      </c>
      <c r="AF44" s="4">
        <f t="shared" si="4"/>
        <v>0</v>
      </c>
      <c r="AG44" s="94">
        <f t="shared" si="5"/>
        <v>0</v>
      </c>
    </row>
    <row r="45" spans="11:33" ht="14.25">
      <c r="K45">
        <f>'Army List'!B49</f>
        <v>0</v>
      </c>
      <c r="L45" t="str">
        <f>'Army List'!$E49&amp;" "&amp;'Army List'!$D49</f>
        <v>– –</v>
      </c>
      <c r="M45">
        <f>VLOOKUP('Army List'!$D49,P1.CAPABILITY,2,FALSE)</f>
        <v>5</v>
      </c>
      <c r="N45">
        <f>VLOOKUP('Army List'!$F49,P1.QUALITY,2,FALSE)</f>
        <v>6</v>
      </c>
      <c r="O45" s="4">
        <f t="shared" si="0"/>
        <v>0</v>
      </c>
      <c r="P45" s="4">
        <f>VLOOKUP('Army List'!$G49,P1.SHOOTINGCOST,'Basis 1'!$M45,FALSE)</f>
        <v>0</v>
      </c>
      <c r="Q45" s="4">
        <f>VLOOKUP('Army List'!$H49,P1.IMPACTCOST,'Basis 1'!$M45,FALSE)</f>
        <v>0</v>
      </c>
      <c r="R45" s="4">
        <f>VLOOKUP('Army List'!$I49,P1.MELEECOST,'Basis 1'!$M45,FALSE)</f>
        <v>0</v>
      </c>
      <c r="S45" s="4">
        <f>IF('Army List'!$J49='Listen 1 '!$Q$11,1,0)</f>
        <v>0</v>
      </c>
      <c r="T45" s="4">
        <f>VLOOKUP('Army List'!$K49,P1.FORMATIONCOST,'Basis 1'!$M45,FALSE)</f>
        <v>0</v>
      </c>
      <c r="U45" s="26">
        <f t="shared" si="1"/>
        <v>0</v>
      </c>
      <c r="V45" s="25">
        <f>IF('Army List'!$J49='Listen 1 '!$Q$13,VLOOKUP('Army List'!$F49,P1.RGUN,4,FALSE),0)</f>
        <v>0</v>
      </c>
      <c r="W45" s="25">
        <f>IF('Army List'!$K49='Listen 1 '!$R$13,4,0)</f>
        <v>0</v>
      </c>
      <c r="X45" s="24">
        <f>U45*'Army List'!$L49+SUM($V45:$W45)</f>
        <v>0</v>
      </c>
      <c r="Y45" s="31">
        <f>'Army List'!$L49</f>
        <v>0</v>
      </c>
      <c r="Z45" s="28" t="str">
        <f>IF($Y45&gt;0,IF($K45=$K44,0,SUMIF(B1.OOM,'Army List'!$B49,B1.NOBASE)),"–")</f>
        <v>–</v>
      </c>
      <c r="AA45" s="29" t="str">
        <f t="shared" si="2"/>
        <v>–</v>
      </c>
      <c r="AB45" s="27" t="str">
        <f>IF($Z45=0,"",IF(ISERROR(ROUNDUP($Z45*VLOOKUP('Army List'!$F49,P1.AUTOBREAK,3,FALSE),0)),"–",ROUNDUP($Z45*VLOOKUP('Army List'!$F49,P1.AUTOBREAK,3,FALSE),0)))</f>
        <v>–</v>
      </c>
      <c r="AC45" s="27" t="str">
        <f>IF($Z45=0,"",IF($AB45="–","–",$Z45*VLOOKUP('Army List'!$F49,P1.AUTOBREAK,3,FALSE)))</f>
        <v>–</v>
      </c>
      <c r="AD45" s="30" t="str">
        <f t="shared" si="3"/>
        <v>–</v>
      </c>
      <c r="AE45" s="92">
        <f>VLOOKUP('Army List'!$D49,P1.MOUNTED,3,FALSE)*'Basis 1'!$Y45</f>
        <v>0</v>
      </c>
      <c r="AF45" s="4">
        <f t="shared" si="4"/>
        <v>0</v>
      </c>
      <c r="AG45" s="94">
        <f t="shared" si="5"/>
        <v>0</v>
      </c>
    </row>
    <row r="46" spans="11:33" ht="14.25">
      <c r="K46">
        <f>'Army List'!B50</f>
        <v>0</v>
      </c>
      <c r="L46" t="str">
        <f>'Army List'!$E50&amp;" "&amp;'Army List'!$D50</f>
        <v>– –</v>
      </c>
      <c r="M46">
        <f>VLOOKUP('Army List'!$D50,P1.CAPABILITY,2,FALSE)</f>
        <v>5</v>
      </c>
      <c r="N46">
        <f>VLOOKUP('Army List'!$F50,P1.QUALITY,2,FALSE)</f>
        <v>6</v>
      </c>
      <c r="O46" s="4">
        <f t="shared" si="0"/>
        <v>0</v>
      </c>
      <c r="P46" s="4">
        <f>VLOOKUP('Army List'!$G50,P1.SHOOTINGCOST,'Basis 1'!$M46,FALSE)</f>
        <v>0</v>
      </c>
      <c r="Q46" s="4">
        <f>VLOOKUP('Army List'!$H50,P1.IMPACTCOST,'Basis 1'!$M46,FALSE)</f>
        <v>0</v>
      </c>
      <c r="R46" s="4">
        <f>VLOOKUP('Army List'!$I50,P1.MELEECOST,'Basis 1'!$M46,FALSE)</f>
        <v>0</v>
      </c>
      <c r="S46" s="4">
        <f>IF('Army List'!$J50='Listen 1 '!$Q$11,1,0)</f>
        <v>0</v>
      </c>
      <c r="T46" s="4">
        <f>VLOOKUP('Army List'!$K50,P1.FORMATIONCOST,'Basis 1'!$M46,FALSE)</f>
        <v>0</v>
      </c>
      <c r="U46" s="26">
        <f t="shared" si="1"/>
        <v>0</v>
      </c>
      <c r="V46" s="25">
        <f>IF('Army List'!$J50='Listen 1 '!$Q$13,VLOOKUP('Army List'!$F50,P1.RGUN,4,FALSE),0)</f>
        <v>0</v>
      </c>
      <c r="W46" s="25">
        <f>IF('Army List'!$K50='Listen 1 '!$R$13,4,0)</f>
        <v>0</v>
      </c>
      <c r="X46" s="24">
        <f>U46*'Army List'!$L50+SUM($V46:$W46)</f>
        <v>0</v>
      </c>
      <c r="Y46" s="31">
        <f>'Army List'!$L50</f>
        <v>0</v>
      </c>
      <c r="Z46" s="28" t="str">
        <f>IF($Y46&gt;0,IF($K46=$K45,0,SUMIF(B1.OOM,'Army List'!$B50,B1.NOBASE)),"–")</f>
        <v>–</v>
      </c>
      <c r="AA46" s="29" t="str">
        <f t="shared" si="2"/>
        <v>–</v>
      </c>
      <c r="AB46" s="27" t="str">
        <f>IF($Z46=0,"",IF(ISERROR(ROUNDUP($Z46*VLOOKUP('Army List'!$F50,P1.AUTOBREAK,3,FALSE),0)),"–",ROUNDUP($Z46*VLOOKUP('Army List'!$F50,P1.AUTOBREAK,3,FALSE),0)))</f>
        <v>–</v>
      </c>
      <c r="AC46" s="27" t="str">
        <f>IF($Z46=0,"",IF($AB46="–","–",$Z46*VLOOKUP('Army List'!$F50,P1.AUTOBREAK,3,FALSE)))</f>
        <v>–</v>
      </c>
      <c r="AD46" s="30" t="str">
        <f t="shared" si="3"/>
        <v>–</v>
      </c>
      <c r="AE46" s="92">
        <f>VLOOKUP('Army List'!$D50,P1.MOUNTED,3,FALSE)*'Basis 1'!$Y46</f>
        <v>0</v>
      </c>
      <c r="AF46" s="4">
        <f t="shared" si="4"/>
        <v>0</v>
      </c>
      <c r="AG46" s="94">
        <f t="shared" si="5"/>
        <v>0</v>
      </c>
    </row>
    <row r="47" spans="11:33" ht="14.25">
      <c r="K47">
        <f>'Army List'!B51</f>
        <v>0</v>
      </c>
      <c r="L47" t="str">
        <f>'Army List'!$E51&amp;" "&amp;'Army List'!$D51</f>
        <v>– –</v>
      </c>
      <c r="M47">
        <f>VLOOKUP('Army List'!$D51,P1.CAPABILITY,2,FALSE)</f>
        <v>5</v>
      </c>
      <c r="N47">
        <f>VLOOKUP('Army List'!$F51,P1.QUALITY,2,FALSE)</f>
        <v>6</v>
      </c>
      <c r="O47" s="4">
        <f t="shared" si="0"/>
        <v>0</v>
      </c>
      <c r="P47" s="4">
        <f>VLOOKUP('Army List'!$G51,P1.SHOOTINGCOST,'Basis 1'!$M47,FALSE)</f>
        <v>0</v>
      </c>
      <c r="Q47" s="4">
        <f>VLOOKUP('Army List'!$H51,P1.IMPACTCOST,'Basis 1'!$M47,FALSE)</f>
        <v>0</v>
      </c>
      <c r="R47" s="4">
        <f>VLOOKUP('Army List'!$I51,P1.MELEECOST,'Basis 1'!$M47,FALSE)</f>
        <v>0</v>
      </c>
      <c r="S47" s="4">
        <f>IF('Army List'!$J51='Listen 1 '!$Q$11,1,0)</f>
        <v>0</v>
      </c>
      <c r="T47" s="4">
        <f>VLOOKUP('Army List'!$K51,P1.FORMATIONCOST,'Basis 1'!$M47,FALSE)</f>
        <v>0</v>
      </c>
      <c r="U47" s="26">
        <f t="shared" si="1"/>
        <v>0</v>
      </c>
      <c r="V47" s="25">
        <f>IF('Army List'!$J51='Listen 1 '!$Q$13,VLOOKUP('Army List'!$F51,P1.RGUN,4,FALSE),0)</f>
        <v>0</v>
      </c>
      <c r="W47" s="25">
        <f>IF('Army List'!$K51='Listen 1 '!$R$13,4,0)</f>
        <v>0</v>
      </c>
      <c r="X47" s="24">
        <f>U47*'Army List'!$L51+SUM($V47:$W47)</f>
        <v>0</v>
      </c>
      <c r="Y47" s="31">
        <f>'Army List'!$L51</f>
        <v>0</v>
      </c>
      <c r="Z47" s="28" t="str">
        <f>IF($Y47&gt;0,IF($K47=$K46,0,SUMIF(B1.OOM,'Army List'!$B51,B1.NOBASE)),"–")</f>
        <v>–</v>
      </c>
      <c r="AA47" s="29" t="str">
        <f t="shared" si="2"/>
        <v>–</v>
      </c>
      <c r="AB47" s="27" t="str">
        <f>IF($Z47=0,"",IF(ISERROR(ROUNDUP($Z47*VLOOKUP('Army List'!$F51,P1.AUTOBREAK,3,FALSE),0)),"–",ROUNDUP($Z47*VLOOKUP('Army List'!$F51,P1.AUTOBREAK,3,FALSE),0)))</f>
        <v>–</v>
      </c>
      <c r="AC47" s="27" t="str">
        <f>IF($Z47=0,"",IF($AB47="–","–",$Z47*VLOOKUP('Army List'!$F51,P1.AUTOBREAK,3,FALSE)))</f>
        <v>–</v>
      </c>
      <c r="AD47" s="30" t="str">
        <f t="shared" si="3"/>
        <v>–</v>
      </c>
      <c r="AE47" s="92">
        <f>VLOOKUP('Army List'!$D51,P1.MOUNTED,3,FALSE)*'Basis 1'!$Y47</f>
        <v>0</v>
      </c>
      <c r="AF47" s="4">
        <f t="shared" si="4"/>
        <v>0</v>
      </c>
      <c r="AG47" s="94">
        <f t="shared" si="5"/>
        <v>0</v>
      </c>
    </row>
    <row r="48" spans="11:33" ht="14.25">
      <c r="K48">
        <f>'Army List'!B52</f>
        <v>0</v>
      </c>
      <c r="L48" t="str">
        <f>'Army List'!$E52&amp;" "&amp;'Army List'!$D52</f>
        <v>– –</v>
      </c>
      <c r="M48">
        <f>VLOOKUP('Army List'!$D52,P1.CAPABILITY,2,FALSE)</f>
        <v>5</v>
      </c>
      <c r="N48">
        <f>VLOOKUP('Army List'!$F52,P1.QUALITY,2,FALSE)</f>
        <v>6</v>
      </c>
      <c r="O48" s="4">
        <f t="shared" si="0"/>
        <v>0</v>
      </c>
      <c r="P48" s="4">
        <f>VLOOKUP('Army List'!$G52,P1.SHOOTINGCOST,'Basis 1'!$M48,FALSE)</f>
        <v>0</v>
      </c>
      <c r="Q48" s="4">
        <f>VLOOKUP('Army List'!$H52,P1.IMPACTCOST,'Basis 1'!$M48,FALSE)</f>
        <v>0</v>
      </c>
      <c r="R48" s="4">
        <f>VLOOKUP('Army List'!$I52,P1.MELEECOST,'Basis 1'!$M48,FALSE)</f>
        <v>0</v>
      </c>
      <c r="S48" s="4">
        <f>IF('Army List'!$J52='Listen 1 '!$Q$11,1,0)</f>
        <v>0</v>
      </c>
      <c r="T48" s="4">
        <f>VLOOKUP('Army List'!$K52,P1.FORMATIONCOST,'Basis 1'!$M48,FALSE)</f>
        <v>0</v>
      </c>
      <c r="U48" s="26">
        <f t="shared" si="1"/>
        <v>0</v>
      </c>
      <c r="V48" s="25">
        <f>IF('Army List'!$J52='Listen 1 '!$Q$13,VLOOKUP('Army List'!$F52,P1.RGUN,4,FALSE),0)</f>
        <v>0</v>
      </c>
      <c r="W48" s="25">
        <f>IF('Army List'!$K52='Listen 1 '!$R$13,4,0)</f>
        <v>0</v>
      </c>
      <c r="X48" s="24">
        <f>U48*'Army List'!$L52+SUM($V48:$W48)</f>
        <v>0</v>
      </c>
      <c r="Y48" s="31">
        <f>'Army List'!$L52</f>
        <v>0</v>
      </c>
      <c r="Z48" s="28" t="str">
        <f>IF($Y48&gt;0,IF($K48=$K47,0,SUMIF(B1.OOM,'Army List'!$B52,B1.NOBASE)),"–")</f>
        <v>–</v>
      </c>
      <c r="AA48" s="29" t="str">
        <f t="shared" si="2"/>
        <v>–</v>
      </c>
      <c r="AB48" s="27" t="str">
        <f>IF($Z48=0,"",IF(ISERROR(ROUNDUP($Z48*VLOOKUP('Army List'!$F52,P1.AUTOBREAK,3,FALSE),0)),"–",ROUNDUP($Z48*VLOOKUP('Army List'!$F52,P1.AUTOBREAK,3,FALSE),0)))</f>
        <v>–</v>
      </c>
      <c r="AC48" s="27" t="str">
        <f>IF($Z48=0,"",IF($AB48="–","–",$Z48*VLOOKUP('Army List'!$F52,P1.AUTOBREAK,3,FALSE)))</f>
        <v>–</v>
      </c>
      <c r="AD48" s="30" t="str">
        <f t="shared" si="3"/>
        <v>–</v>
      </c>
      <c r="AE48" s="92">
        <f>VLOOKUP('Army List'!$D52,P1.MOUNTED,3,FALSE)*'Basis 1'!$Y48</f>
        <v>0</v>
      </c>
      <c r="AF48" s="4">
        <f t="shared" si="4"/>
        <v>0</v>
      </c>
      <c r="AG48" s="94">
        <f t="shared" si="5"/>
        <v>0</v>
      </c>
    </row>
    <row r="49" spans="15:22" ht="14.25">
      <c r="O49" s="5"/>
      <c r="P49" s="5"/>
      <c r="Q49" s="5"/>
      <c r="R49" s="5"/>
      <c r="S49" s="5"/>
      <c r="T49" s="5"/>
      <c r="U49" s="5"/>
      <c r="V49" s="5"/>
    </row>
    <row r="50" spans="15:22" ht="14.25">
      <c r="O50" s="5"/>
      <c r="P50" s="5"/>
      <c r="Q50" s="5"/>
      <c r="R50" s="5"/>
      <c r="S50" s="5"/>
      <c r="T50" s="5"/>
      <c r="U50" s="5"/>
      <c r="V50" s="5"/>
    </row>
    <row r="51" spans="15:22" ht="14.25">
      <c r="O51" s="5"/>
      <c r="P51" s="5"/>
      <c r="Q51" s="5"/>
      <c r="R51" s="5"/>
      <c r="S51" s="5"/>
      <c r="T51" s="5"/>
      <c r="U51" s="5"/>
      <c r="V51" s="5"/>
    </row>
    <row r="52" spans="15:22" ht="14.25">
      <c r="O52" s="5"/>
      <c r="P52" s="5"/>
      <c r="Q52" s="5"/>
      <c r="R52" s="5"/>
      <c r="S52" s="5"/>
      <c r="T52" s="5"/>
      <c r="U52" s="5"/>
      <c r="V52" s="5"/>
    </row>
    <row r="53" spans="15:22" ht="14.25">
      <c r="O53" s="5"/>
      <c r="P53" s="5"/>
      <c r="Q53" s="5"/>
      <c r="R53" s="5"/>
      <c r="S53" s="5"/>
      <c r="T53" s="5"/>
      <c r="U53" s="5"/>
      <c r="V53" s="5"/>
    </row>
    <row r="54" spans="15:22" ht="14.25">
      <c r="O54" s="5"/>
      <c r="P54" s="5"/>
      <c r="Q54" s="5"/>
      <c r="R54" s="5"/>
      <c r="S54" s="5"/>
      <c r="T54" s="5"/>
      <c r="U54" s="5"/>
      <c r="V54" s="5"/>
    </row>
    <row r="55" spans="15:22" ht="14.25">
      <c r="O55" s="5"/>
      <c r="P55" s="5"/>
      <c r="Q55" s="5"/>
      <c r="R55" s="5"/>
      <c r="S55" s="5"/>
      <c r="T55" s="5"/>
      <c r="U55" s="5"/>
      <c r="V55" s="5"/>
    </row>
    <row r="56" spans="15:22" ht="14.25">
      <c r="O56" s="5"/>
      <c r="P56" s="5"/>
      <c r="Q56" s="5"/>
      <c r="R56" s="5"/>
      <c r="S56" s="5"/>
      <c r="T56" s="5"/>
      <c r="U56" s="5"/>
      <c r="V56" s="5"/>
    </row>
    <row r="57" spans="15:22" ht="14.25">
      <c r="O57" s="5"/>
      <c r="P57" s="5"/>
      <c r="Q57" s="5"/>
      <c r="R57" s="5"/>
      <c r="S57" s="5"/>
      <c r="T57" s="5"/>
      <c r="U57" s="5"/>
      <c r="V57" s="5"/>
    </row>
    <row r="58" spans="15:22" ht="14.25">
      <c r="O58" s="5"/>
      <c r="P58" s="5"/>
      <c r="Q58" s="5"/>
      <c r="R58" s="5"/>
      <c r="S58" s="5"/>
      <c r="T58" s="5"/>
      <c r="U58" s="5"/>
      <c r="V58" s="5"/>
    </row>
    <row r="59" spans="15:22" ht="14.25">
      <c r="O59" s="5"/>
      <c r="P59" s="5"/>
      <c r="Q59" s="5"/>
      <c r="R59" s="5"/>
      <c r="S59" s="5"/>
      <c r="T59" s="5"/>
      <c r="U59" s="5"/>
      <c r="V59" s="5"/>
    </row>
    <row r="60" spans="15:22" ht="14.25">
      <c r="O60" s="5"/>
      <c r="P60" s="5"/>
      <c r="Q60" s="5"/>
      <c r="R60" s="5"/>
      <c r="S60" s="5"/>
      <c r="T60" s="5"/>
      <c r="U60" s="5"/>
      <c r="V60" s="5"/>
    </row>
    <row r="61" spans="15:22" ht="14.25">
      <c r="O61" s="5"/>
      <c r="P61" s="5"/>
      <c r="Q61" s="5"/>
      <c r="R61" s="5"/>
      <c r="S61" s="5"/>
      <c r="T61" s="5"/>
      <c r="U61" s="5"/>
      <c r="V61" s="5"/>
    </row>
    <row r="62" spans="15:22" ht="14.25">
      <c r="O62" s="5"/>
      <c r="P62" s="5"/>
      <c r="Q62" s="5"/>
      <c r="R62" s="5"/>
      <c r="S62" s="5"/>
      <c r="T62" s="5"/>
      <c r="U62" s="5"/>
      <c r="V62" s="5"/>
    </row>
    <row r="63" spans="15:22" ht="14.25">
      <c r="O63" s="5"/>
      <c r="P63" s="5"/>
      <c r="Q63" s="5"/>
      <c r="R63" s="5"/>
      <c r="S63" s="5"/>
      <c r="T63" s="5"/>
      <c r="U63" s="5"/>
      <c r="V63" s="5"/>
    </row>
    <row r="64" spans="15:22" ht="14.25">
      <c r="O64" s="5"/>
      <c r="P64" s="5"/>
      <c r="Q64" s="5"/>
      <c r="R64" s="5"/>
      <c r="S64" s="5"/>
      <c r="T64" s="5"/>
      <c r="U64" s="5"/>
      <c r="V64" s="5"/>
    </row>
    <row r="65" spans="15:22" ht="14.25">
      <c r="O65" s="5"/>
      <c r="P65" s="5"/>
      <c r="Q65" s="5"/>
      <c r="R65" s="5"/>
      <c r="S65" s="5"/>
      <c r="T65" s="5"/>
      <c r="U65" s="5"/>
      <c r="V65" s="5"/>
    </row>
    <row r="66" spans="15:22" ht="14.25">
      <c r="O66" s="5"/>
      <c r="P66" s="5"/>
      <c r="Q66" s="5"/>
      <c r="R66" s="5"/>
      <c r="S66" s="5"/>
      <c r="T66" s="5"/>
      <c r="U66" s="5"/>
      <c r="V66" s="5"/>
    </row>
    <row r="67" spans="15:22" ht="14.25">
      <c r="O67" s="5"/>
      <c r="P67" s="5"/>
      <c r="Q67" s="5"/>
      <c r="R67" s="5"/>
      <c r="S67" s="5"/>
      <c r="T67" s="5"/>
      <c r="U67" s="5"/>
      <c r="V67" s="5"/>
    </row>
    <row r="68" spans="15:22" ht="14.25">
      <c r="O68" s="5"/>
      <c r="P68" s="5"/>
      <c r="Q68" s="5"/>
      <c r="R68" s="5"/>
      <c r="S68" s="5"/>
      <c r="T68" s="5"/>
      <c r="U68" s="5"/>
      <c r="V68" s="5"/>
    </row>
    <row r="69" spans="15:22" ht="14.25">
      <c r="O69" s="5"/>
      <c r="P69" s="5"/>
      <c r="Q69" s="5"/>
      <c r="R69" s="5"/>
      <c r="S69" s="5"/>
      <c r="T69" s="5"/>
      <c r="U69" s="5"/>
      <c r="V69" s="5"/>
    </row>
    <row r="70" spans="15:22" ht="14.25">
      <c r="O70" s="5"/>
      <c r="P70" s="5"/>
      <c r="Q70" s="5"/>
      <c r="R70" s="5"/>
      <c r="S70" s="5"/>
      <c r="T70" s="5"/>
      <c r="U70" s="5"/>
      <c r="V70" s="5"/>
    </row>
    <row r="71" spans="15:22" ht="14.25">
      <c r="O71" s="5"/>
      <c r="P71" s="5"/>
      <c r="Q71" s="5"/>
      <c r="R71" s="5"/>
      <c r="S71" s="5"/>
      <c r="T71" s="5"/>
      <c r="U71" s="5"/>
      <c r="V71" s="5"/>
    </row>
  </sheetData>
  <sheetProtection/>
  <mergeCells count="8">
    <mergeCell ref="AA12:AB12"/>
    <mergeCell ref="AD12:AE12"/>
    <mergeCell ref="AA17:AB17"/>
    <mergeCell ref="K17:K18"/>
    <mergeCell ref="L17:L18"/>
    <mergeCell ref="M17:O17"/>
    <mergeCell ref="P17:S17"/>
    <mergeCell ref="U17:X17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7" sqref="K17:X18"/>
    </sheetView>
  </sheetViews>
  <sheetFormatPr defaultColWidth="11.421875" defaultRowHeight="15"/>
  <cols>
    <col min="1" max="10" width="1.7109375" style="0" customWidth="1"/>
  </cols>
  <sheetData>
    <row r="1" ht="7.5" customHeight="1"/>
    <row r="2" ht="7.5" customHeight="1"/>
    <row r="3" ht="7.5" customHeight="1"/>
    <row r="4" ht="7.5" customHeight="1"/>
    <row r="5" ht="7.5" customHeight="1"/>
    <row r="6" ht="7.5" customHeight="1"/>
    <row r="7" ht="7.5" customHeight="1"/>
    <row r="8" ht="7.5" customHeight="1"/>
    <row r="9" ht="7.5" customHeight="1"/>
    <row r="10" ht="7.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K10:V30"/>
  <sheetViews>
    <sheetView zoomScalePageLayoutView="0" workbookViewId="0" topLeftCell="A1">
      <selection activeCell="N22" sqref="N22"/>
    </sheetView>
  </sheetViews>
  <sheetFormatPr defaultColWidth="11.421875" defaultRowHeight="15"/>
  <cols>
    <col min="1" max="10" width="1.7109375" style="0" customWidth="1"/>
  </cols>
  <sheetData>
    <row r="1" ht="7.5" customHeight="1"/>
    <row r="2" ht="7.5" customHeight="1"/>
    <row r="3" ht="7.5" customHeight="1"/>
    <row r="4" ht="7.5" customHeight="1"/>
    <row r="5" ht="7.5" customHeight="1"/>
    <row r="6" ht="7.5" customHeight="1"/>
    <row r="7" ht="7.5" customHeight="1"/>
    <row r="8" ht="7.5" customHeight="1"/>
    <row r="9" ht="7.5" customHeight="1"/>
    <row r="10" spans="11:22" ht="7.5" customHeight="1">
      <c r="K10" t="s">
        <v>16</v>
      </c>
      <c r="L10" t="s">
        <v>15</v>
      </c>
      <c r="M10" t="s">
        <v>17</v>
      </c>
      <c r="N10" t="s">
        <v>22</v>
      </c>
      <c r="O10" t="s">
        <v>40</v>
      </c>
      <c r="P10" t="s">
        <v>41</v>
      </c>
      <c r="Q10" t="s">
        <v>50</v>
      </c>
      <c r="R10" t="s">
        <v>112</v>
      </c>
      <c r="S10" t="s">
        <v>131</v>
      </c>
      <c r="T10" t="s">
        <v>134</v>
      </c>
      <c r="U10" t="s">
        <v>137</v>
      </c>
      <c r="V10" t="s">
        <v>150</v>
      </c>
    </row>
    <row r="11" spans="11:22" ht="14.25">
      <c r="K11" t="s">
        <v>92</v>
      </c>
      <c r="L11" t="s">
        <v>115</v>
      </c>
      <c r="M11" t="s">
        <v>119</v>
      </c>
      <c r="N11" t="s">
        <v>23</v>
      </c>
      <c r="O11" t="s">
        <v>42</v>
      </c>
      <c r="P11" t="s">
        <v>42</v>
      </c>
      <c r="Q11" t="s">
        <v>123</v>
      </c>
      <c r="R11" t="s">
        <v>127</v>
      </c>
      <c r="S11" t="s">
        <v>132</v>
      </c>
      <c r="T11" t="s">
        <v>135</v>
      </c>
      <c r="U11" t="s">
        <v>140</v>
      </c>
      <c r="V11" t="s">
        <v>151</v>
      </c>
    </row>
    <row r="12" spans="11:22" ht="14.25">
      <c r="K12" t="s">
        <v>93</v>
      </c>
      <c r="L12" t="s">
        <v>116</v>
      </c>
      <c r="M12" t="s">
        <v>120</v>
      </c>
      <c r="N12" t="s">
        <v>24</v>
      </c>
      <c r="O12" t="s">
        <v>43</v>
      </c>
      <c r="P12" t="s">
        <v>43</v>
      </c>
      <c r="Q12" t="s">
        <v>124</v>
      </c>
      <c r="R12" t="s">
        <v>128</v>
      </c>
      <c r="S12" t="s">
        <v>133</v>
      </c>
      <c r="T12" t="s">
        <v>136</v>
      </c>
      <c r="U12" t="s">
        <v>141</v>
      </c>
      <c r="V12" t="s">
        <v>152</v>
      </c>
    </row>
    <row r="13" spans="11:22" ht="14.25">
      <c r="K13" t="s">
        <v>94</v>
      </c>
      <c r="L13" t="s">
        <v>117</v>
      </c>
      <c r="M13" t="s">
        <v>121</v>
      </c>
      <c r="N13" t="s">
        <v>26</v>
      </c>
      <c r="O13" t="s">
        <v>44</v>
      </c>
      <c r="P13" t="s">
        <v>47</v>
      </c>
      <c r="Q13" t="s">
        <v>125</v>
      </c>
      <c r="R13" t="s">
        <v>126</v>
      </c>
      <c r="T13" t="s">
        <v>55</v>
      </c>
      <c r="U13" t="s">
        <v>142</v>
      </c>
      <c r="V13" t="s">
        <v>153</v>
      </c>
    </row>
    <row r="14" spans="11:22" ht="14.25">
      <c r="K14" t="s">
        <v>95</v>
      </c>
      <c r="L14" t="s">
        <v>118</v>
      </c>
      <c r="M14" t="s">
        <v>122</v>
      </c>
      <c r="N14" t="s">
        <v>25</v>
      </c>
      <c r="O14" t="s">
        <v>45</v>
      </c>
      <c r="P14" t="s">
        <v>35</v>
      </c>
      <c r="Q14" s="2" t="s">
        <v>55</v>
      </c>
      <c r="R14" t="s">
        <v>129</v>
      </c>
      <c r="U14" t="s">
        <v>55</v>
      </c>
      <c r="V14" t="s">
        <v>154</v>
      </c>
    </row>
    <row r="15" spans="11:22" ht="14.25">
      <c r="K15" t="s">
        <v>96</v>
      </c>
      <c r="L15" s="2" t="s">
        <v>55</v>
      </c>
      <c r="M15" t="s">
        <v>55</v>
      </c>
      <c r="N15" t="s">
        <v>27</v>
      </c>
      <c r="O15" t="s">
        <v>52</v>
      </c>
      <c r="P15" t="s">
        <v>48</v>
      </c>
      <c r="R15" s="2" t="s">
        <v>55</v>
      </c>
      <c r="V15" t="s">
        <v>155</v>
      </c>
    </row>
    <row r="16" spans="11:22" ht="14.25">
      <c r="K16" t="s">
        <v>97</v>
      </c>
      <c r="N16" t="s">
        <v>28</v>
      </c>
      <c r="O16" t="s">
        <v>53</v>
      </c>
      <c r="P16" t="s">
        <v>49</v>
      </c>
      <c r="V16" t="s">
        <v>156</v>
      </c>
    </row>
    <row r="17" spans="11:22" ht="14.25">
      <c r="K17" t="s">
        <v>98</v>
      </c>
      <c r="N17" t="s">
        <v>29</v>
      </c>
      <c r="O17" t="s">
        <v>46</v>
      </c>
      <c r="P17" s="2" t="s">
        <v>55</v>
      </c>
      <c r="V17" t="s">
        <v>157</v>
      </c>
    </row>
    <row r="18" spans="11:15" ht="14.25">
      <c r="K18" t="s">
        <v>104</v>
      </c>
      <c r="N18" t="s">
        <v>30</v>
      </c>
      <c r="O18" t="s">
        <v>47</v>
      </c>
    </row>
    <row r="19" spans="11:15" ht="14.25">
      <c r="K19" t="s">
        <v>105</v>
      </c>
      <c r="N19" t="s">
        <v>31</v>
      </c>
      <c r="O19" t="s">
        <v>35</v>
      </c>
    </row>
    <row r="20" spans="11:15" ht="14.25">
      <c r="K20" t="s">
        <v>106</v>
      </c>
      <c r="N20" t="s">
        <v>32</v>
      </c>
      <c r="O20" t="s">
        <v>36</v>
      </c>
    </row>
    <row r="21" spans="11:15" ht="14.25">
      <c r="K21" t="s">
        <v>107</v>
      </c>
      <c r="N21" t="s">
        <v>34</v>
      </c>
      <c r="O21" t="s">
        <v>48</v>
      </c>
    </row>
    <row r="22" spans="11:15" ht="14.25">
      <c r="K22" t="s">
        <v>108</v>
      </c>
      <c r="N22" t="s">
        <v>33</v>
      </c>
      <c r="O22" s="2" t="s">
        <v>55</v>
      </c>
    </row>
    <row r="23" spans="11:14" ht="14.25">
      <c r="K23" t="s">
        <v>109</v>
      </c>
      <c r="N23" t="s">
        <v>35</v>
      </c>
    </row>
    <row r="24" spans="11:14" ht="14.25">
      <c r="K24" t="s">
        <v>110</v>
      </c>
      <c r="N24" t="s">
        <v>36</v>
      </c>
    </row>
    <row r="25" spans="11:14" ht="14.25">
      <c r="K25" t="s">
        <v>111</v>
      </c>
      <c r="N25" t="s">
        <v>37</v>
      </c>
    </row>
    <row r="26" spans="11:14" ht="14.25">
      <c r="K26" t="s">
        <v>99</v>
      </c>
      <c r="N26" s="2" t="s">
        <v>55</v>
      </c>
    </row>
    <row r="27" ht="14.25">
      <c r="K27" t="s">
        <v>100</v>
      </c>
    </row>
    <row r="28" ht="14.25">
      <c r="K28" t="s">
        <v>101</v>
      </c>
    </row>
    <row r="29" ht="14.25">
      <c r="K29" t="s">
        <v>102</v>
      </c>
    </row>
    <row r="30" ht="14.25">
      <c r="K30" t="s">
        <v>55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K9:AQ121"/>
  <sheetViews>
    <sheetView zoomScalePageLayoutView="0" workbookViewId="0" topLeftCell="W1">
      <selection activeCell="AE26" sqref="AE26"/>
    </sheetView>
  </sheetViews>
  <sheetFormatPr defaultColWidth="11.421875" defaultRowHeight="15"/>
  <cols>
    <col min="1" max="10" width="1.7109375" style="0" customWidth="1"/>
    <col min="11" max="11" width="15.28125" style="0" bestFit="1" customWidth="1"/>
    <col min="12" max="12" width="2.00390625" style="0" bestFit="1" customWidth="1"/>
    <col min="15" max="15" width="25.8515625" style="0" bestFit="1" customWidth="1"/>
    <col min="18" max="18" width="27.00390625" style="0" bestFit="1" customWidth="1"/>
  </cols>
  <sheetData>
    <row r="1" ht="7.5" customHeight="1"/>
    <row r="2" ht="7.5" customHeight="1"/>
    <row r="3" ht="7.5" customHeight="1"/>
    <row r="4" ht="7.5" customHeight="1"/>
    <row r="5" ht="7.5" customHeight="1"/>
    <row r="6" ht="7.5" customHeight="1"/>
    <row r="7" ht="7.5" customHeight="1"/>
    <row r="8" ht="7.5" customHeight="1"/>
    <row r="9" spans="19:43" ht="7.5" customHeight="1">
      <c r="S9" s="60">
        <v>2</v>
      </c>
      <c r="T9" s="60">
        <v>3</v>
      </c>
      <c r="U9" s="60">
        <v>4</v>
      </c>
      <c r="V9" s="60">
        <v>5</v>
      </c>
      <c r="W9" s="60">
        <v>6</v>
      </c>
      <c r="X9" t="s">
        <v>59</v>
      </c>
      <c r="Y9" s="8">
        <v>2</v>
      </c>
      <c r="Z9" s="8">
        <v>3</v>
      </c>
      <c r="AA9" s="8">
        <v>4</v>
      </c>
      <c r="AB9" s="8">
        <v>5</v>
      </c>
      <c r="AC9" t="s">
        <v>38</v>
      </c>
      <c r="AD9" s="8">
        <v>2</v>
      </c>
      <c r="AE9" s="8">
        <v>3</v>
      </c>
      <c r="AF9" s="8">
        <v>4</v>
      </c>
      <c r="AG9" s="8">
        <v>5</v>
      </c>
      <c r="AH9" t="s">
        <v>39</v>
      </c>
      <c r="AI9" s="8">
        <v>2</v>
      </c>
      <c r="AJ9" s="8">
        <v>3</v>
      </c>
      <c r="AK9" s="8">
        <v>4</v>
      </c>
      <c r="AL9" s="8">
        <v>5</v>
      </c>
      <c r="AM9" t="s">
        <v>103</v>
      </c>
      <c r="AN9" s="8">
        <v>2</v>
      </c>
      <c r="AO9" s="8">
        <v>3</v>
      </c>
      <c r="AP9" s="8">
        <v>4</v>
      </c>
      <c r="AQ9" s="8">
        <v>5</v>
      </c>
    </row>
    <row r="10" spans="13:42" ht="7.5" customHeight="1">
      <c r="M10" s="62" t="s">
        <v>14</v>
      </c>
      <c r="N10" s="68" t="s">
        <v>114</v>
      </c>
      <c r="S10" t="s">
        <v>18</v>
      </c>
      <c r="T10" t="s">
        <v>19</v>
      </c>
      <c r="U10" t="s">
        <v>20</v>
      </c>
      <c r="V10" t="s">
        <v>21</v>
      </c>
      <c r="Y10" t="s">
        <v>56</v>
      </c>
      <c r="Z10" t="s">
        <v>57</v>
      </c>
      <c r="AA10" t="s">
        <v>58</v>
      </c>
      <c r="AD10" t="s">
        <v>56</v>
      </c>
      <c r="AE10" t="s">
        <v>57</v>
      </c>
      <c r="AF10" t="s">
        <v>58</v>
      </c>
      <c r="AI10" t="s">
        <v>56</v>
      </c>
      <c r="AJ10" t="s">
        <v>57</v>
      </c>
      <c r="AK10" t="s">
        <v>58</v>
      </c>
      <c r="AN10" t="s">
        <v>56</v>
      </c>
      <c r="AO10" t="s">
        <v>57</v>
      </c>
      <c r="AP10" t="s">
        <v>58</v>
      </c>
    </row>
    <row r="11" spans="11:43" ht="14.25">
      <c r="K11" s="9" t="s">
        <v>18</v>
      </c>
      <c r="L11" s="63">
        <v>2</v>
      </c>
      <c r="M11" s="65">
        <v>0.6</v>
      </c>
      <c r="N11" s="69">
        <v>14</v>
      </c>
      <c r="P11" t="str">
        <f>'Listen 1 '!$L$11</f>
        <v>Fully armoured</v>
      </c>
      <c r="Q11" s="7" t="str">
        <f>'Listen 1 '!$K$11</f>
        <v>DF</v>
      </c>
      <c r="R11" s="9" t="str">
        <f aca="true" t="shared" si="0" ref="R11:R20">P11&amp;" "&amp;Q11</f>
        <v>Fully armoured DF</v>
      </c>
      <c r="S11" s="15">
        <f aca="true" t="shared" si="1" ref="S11:U14">S16+1</f>
        <v>13</v>
      </c>
      <c r="T11" s="15">
        <f t="shared" si="1"/>
        <v>11</v>
      </c>
      <c r="U11" s="15">
        <f t="shared" si="1"/>
        <v>8</v>
      </c>
      <c r="V11" s="15" t="s">
        <v>54</v>
      </c>
      <c r="W11" s="10"/>
      <c r="X11" s="18" t="str">
        <f>'Listen 1 '!N11</f>
        <v>Arquebus</v>
      </c>
      <c r="Y11" s="19">
        <v>2</v>
      </c>
      <c r="Z11" s="19">
        <v>0</v>
      </c>
      <c r="AA11" s="19">
        <f aca="true" t="shared" si="2" ref="AA11:AA26">Y11*3</f>
        <v>6</v>
      </c>
      <c r="AB11" s="10"/>
      <c r="AC11" s="19" t="str">
        <f>'Listen 1 '!O11</f>
        <v>Bayonet</v>
      </c>
      <c r="AD11" s="19">
        <v>2</v>
      </c>
      <c r="AE11" s="15" t="s">
        <v>54</v>
      </c>
      <c r="AF11" s="19">
        <f aca="true" t="shared" si="3" ref="AF11:AF22">AD11*3</f>
        <v>6</v>
      </c>
      <c r="AG11" s="10"/>
      <c r="AH11" s="19" t="str">
        <f>'Listen 1 '!P11</f>
        <v>Bayonet</v>
      </c>
      <c r="AI11" s="19">
        <v>0</v>
      </c>
      <c r="AJ11" s="15" t="s">
        <v>54</v>
      </c>
      <c r="AK11" s="19">
        <f aca="true" t="shared" si="4" ref="AK11:AK17">AI11*3</f>
        <v>0</v>
      </c>
      <c r="AL11" s="10"/>
      <c r="AM11" s="9" t="str">
        <f>'Listen 1 '!$R11</f>
        <v>Bayonet in BG w/ Pike</v>
      </c>
      <c r="AN11" s="19">
        <v>-2</v>
      </c>
      <c r="AO11" s="15" t="s">
        <v>54</v>
      </c>
      <c r="AP11" s="15" t="s">
        <v>54</v>
      </c>
      <c r="AQ11" s="10"/>
    </row>
    <row r="12" spans="11:43" ht="14.25">
      <c r="K12" s="11" t="s">
        <v>19</v>
      </c>
      <c r="L12" s="61">
        <v>3</v>
      </c>
      <c r="M12" s="66">
        <v>0.5</v>
      </c>
      <c r="N12" s="70">
        <v>12</v>
      </c>
      <c r="P12" t="str">
        <f>'Listen 1 '!$L$12</f>
        <v>Heavily armoured</v>
      </c>
      <c r="Q12" s="7" t="str">
        <f>'Listen 1 '!$K$11</f>
        <v>DF</v>
      </c>
      <c r="R12" s="11" t="str">
        <f t="shared" si="0"/>
        <v>Heavily armoured DF</v>
      </c>
      <c r="S12" s="16">
        <f t="shared" si="1"/>
        <v>12</v>
      </c>
      <c r="T12" s="16">
        <f t="shared" si="1"/>
        <v>10</v>
      </c>
      <c r="U12" s="16">
        <f t="shared" si="1"/>
        <v>7</v>
      </c>
      <c r="V12" s="16">
        <f>V17+1</f>
        <v>5</v>
      </c>
      <c r="W12" s="12"/>
      <c r="X12" s="20" t="str">
        <f>'Listen 1 '!N12</f>
        <v>Bombs</v>
      </c>
      <c r="Y12" s="21">
        <v>1</v>
      </c>
      <c r="Z12" s="21">
        <v>0</v>
      </c>
      <c r="AA12" s="21">
        <f t="shared" si="2"/>
        <v>3</v>
      </c>
      <c r="AB12" s="12"/>
      <c r="AC12" s="21" t="str">
        <f>'Listen 1 '!O12</f>
        <v>Heavy Weapon</v>
      </c>
      <c r="AD12" s="16">
        <v>1</v>
      </c>
      <c r="AE12" s="16" t="s">
        <v>54</v>
      </c>
      <c r="AF12" s="16">
        <f t="shared" si="3"/>
        <v>3</v>
      </c>
      <c r="AG12" s="12"/>
      <c r="AH12" s="21" t="str">
        <f>'Listen 1 '!P12</f>
        <v>Heavy Weapon</v>
      </c>
      <c r="AI12" s="16">
        <v>0</v>
      </c>
      <c r="AJ12" s="16" t="s">
        <v>54</v>
      </c>
      <c r="AK12" s="16">
        <f t="shared" si="4"/>
        <v>0</v>
      </c>
      <c r="AL12" s="12"/>
      <c r="AM12" s="11" t="str">
        <f>'Listen 1 '!$R12</f>
        <v>Shot in BG w/Pike</v>
      </c>
      <c r="AN12" s="16">
        <v>1</v>
      </c>
      <c r="AO12" s="16" t="s">
        <v>54</v>
      </c>
      <c r="AP12" s="16" t="s">
        <v>54</v>
      </c>
      <c r="AQ12" s="12"/>
    </row>
    <row r="13" spans="11:43" ht="14.25">
      <c r="K13" s="11" t="s">
        <v>20</v>
      </c>
      <c r="L13" s="61">
        <v>4</v>
      </c>
      <c r="M13" s="66">
        <v>0.4</v>
      </c>
      <c r="N13" s="70">
        <v>9</v>
      </c>
      <c r="P13" t="str">
        <f>'Listen 1 '!$L$13</f>
        <v>Armoured</v>
      </c>
      <c r="Q13" s="7" t="str">
        <f>'Listen 1 '!$K$11</f>
        <v>DF</v>
      </c>
      <c r="R13" s="11" t="str">
        <f t="shared" si="0"/>
        <v>Armoured DF</v>
      </c>
      <c r="S13" s="16">
        <f t="shared" si="1"/>
        <v>11</v>
      </c>
      <c r="T13" s="16">
        <f t="shared" si="1"/>
        <v>9</v>
      </c>
      <c r="U13" s="16">
        <f t="shared" si="1"/>
        <v>6</v>
      </c>
      <c r="V13" s="16">
        <f>V18+1</f>
        <v>4</v>
      </c>
      <c r="W13" s="12"/>
      <c r="X13" s="20" t="str">
        <f>'Listen 1 '!N13</f>
        <v>Bow*</v>
      </c>
      <c r="Y13" s="21">
        <v>1</v>
      </c>
      <c r="Z13" s="21">
        <v>1</v>
      </c>
      <c r="AA13" s="21">
        <f>Y13*3</f>
        <v>3</v>
      </c>
      <c r="AB13" s="12"/>
      <c r="AC13" s="21" t="str">
        <f>'Listen 1 '!O13</f>
        <v>Impact Foot</v>
      </c>
      <c r="AD13" s="16">
        <v>1</v>
      </c>
      <c r="AE13" s="16" t="s">
        <v>54</v>
      </c>
      <c r="AF13" s="16">
        <f t="shared" si="3"/>
        <v>3</v>
      </c>
      <c r="AG13" s="12"/>
      <c r="AH13" s="21" t="str">
        <f>'Listen 1 '!P13</f>
        <v>Pike</v>
      </c>
      <c r="AI13" s="16">
        <v>0</v>
      </c>
      <c r="AJ13" s="16" t="s">
        <v>54</v>
      </c>
      <c r="AK13" s="16">
        <f t="shared" si="4"/>
        <v>0</v>
      </c>
      <c r="AL13" s="12"/>
      <c r="AM13" s="11" t="str">
        <f>'Listen 1 '!$R13</f>
        <v>Swedish Brigade</v>
      </c>
      <c r="AN13" s="16">
        <v>0</v>
      </c>
      <c r="AO13" s="16" t="s">
        <v>54</v>
      </c>
      <c r="AP13" s="16" t="s">
        <v>54</v>
      </c>
      <c r="AQ13" s="12"/>
    </row>
    <row r="14" spans="11:43" ht="14.25">
      <c r="K14" s="11" t="s">
        <v>21</v>
      </c>
      <c r="L14" s="61">
        <v>5</v>
      </c>
      <c r="M14" s="66">
        <v>0.3</v>
      </c>
      <c r="N14" s="71">
        <v>7</v>
      </c>
      <c r="P14" t="str">
        <f>'Listen 1 '!$L$14</f>
        <v>Unarmoured</v>
      </c>
      <c r="Q14" s="7" t="str">
        <f>'Listen 1 '!$K$11</f>
        <v>DF</v>
      </c>
      <c r="R14" s="11" t="str">
        <f t="shared" si="0"/>
        <v>Unarmoured DF</v>
      </c>
      <c r="S14" s="16">
        <f t="shared" si="1"/>
        <v>10</v>
      </c>
      <c r="T14" s="16">
        <f t="shared" si="1"/>
        <v>8</v>
      </c>
      <c r="U14" s="16">
        <f t="shared" si="1"/>
        <v>5</v>
      </c>
      <c r="V14" s="16">
        <f>V19+1</f>
        <v>3</v>
      </c>
      <c r="W14" s="12"/>
      <c r="X14" s="20" t="str">
        <f>'Listen 1 '!N14</f>
        <v>Bow</v>
      </c>
      <c r="Y14" s="21">
        <v>1</v>
      </c>
      <c r="Z14" s="21">
        <v>2</v>
      </c>
      <c r="AA14" s="21">
        <f>Y14*3</f>
        <v>3</v>
      </c>
      <c r="AB14" s="12"/>
      <c r="AC14" s="21" t="str">
        <f>'Listen 1 '!O14</f>
        <v>Impact Mounted</v>
      </c>
      <c r="AD14" s="16" t="s">
        <v>54</v>
      </c>
      <c r="AE14" s="16">
        <v>3</v>
      </c>
      <c r="AF14" s="16" t="s">
        <v>54</v>
      </c>
      <c r="AG14" s="12"/>
      <c r="AH14" s="21" t="str">
        <f>'Listen 1 '!P14</f>
        <v>Pistol</v>
      </c>
      <c r="AI14" s="16" t="s">
        <v>54</v>
      </c>
      <c r="AJ14" s="16">
        <v>2</v>
      </c>
      <c r="AK14" s="16" t="s">
        <v>54</v>
      </c>
      <c r="AL14" s="12"/>
      <c r="AM14" s="11" t="str">
        <f>'Listen 1 '!$R14</f>
        <v>Portable Defences</v>
      </c>
      <c r="AN14" s="21">
        <v>3</v>
      </c>
      <c r="AO14" s="16">
        <v>3</v>
      </c>
      <c r="AP14" s="16">
        <v>3</v>
      </c>
      <c r="AQ14" s="12"/>
    </row>
    <row r="15" spans="11:43" ht="14.25">
      <c r="K15" s="13" t="s">
        <v>55</v>
      </c>
      <c r="L15" s="64">
        <v>6</v>
      </c>
      <c r="M15" s="67">
        <v>0</v>
      </c>
      <c r="N15" s="72">
        <v>0</v>
      </c>
      <c r="P15" t="str">
        <f>'Listen 1 '!$L$15</f>
        <v>–</v>
      </c>
      <c r="Q15" s="7" t="str">
        <f>'Listen 1 '!$K$11</f>
        <v>DF</v>
      </c>
      <c r="R15" s="11" t="str">
        <f t="shared" si="0"/>
        <v>– DF</v>
      </c>
      <c r="S15" s="16" t="s">
        <v>54</v>
      </c>
      <c r="T15" s="16" t="s">
        <v>54</v>
      </c>
      <c r="U15" s="16" t="s">
        <v>54</v>
      </c>
      <c r="V15" s="16" t="s">
        <v>54</v>
      </c>
      <c r="W15" s="12"/>
      <c r="X15" s="20" t="str">
        <f>'Listen 1 '!N15</f>
        <v>Carbine</v>
      </c>
      <c r="Y15" s="21">
        <v>0</v>
      </c>
      <c r="Z15" s="21">
        <v>2</v>
      </c>
      <c r="AA15" s="21">
        <f t="shared" si="2"/>
        <v>0</v>
      </c>
      <c r="AB15" s="12"/>
      <c r="AC15" s="21" t="str">
        <f>'Listen 1 '!O15</f>
        <v>Heavy Lancers</v>
      </c>
      <c r="AD15" s="16" t="s">
        <v>54</v>
      </c>
      <c r="AE15" s="16">
        <v>1</v>
      </c>
      <c r="AF15" s="16" t="s">
        <v>54</v>
      </c>
      <c r="AG15" s="12"/>
      <c r="AH15" s="21" t="str">
        <f>'Listen 1 '!P15</f>
        <v>Spearmen</v>
      </c>
      <c r="AI15" s="16">
        <v>0</v>
      </c>
      <c r="AJ15" s="16" t="s">
        <v>54</v>
      </c>
      <c r="AK15" s="16">
        <f t="shared" si="4"/>
        <v>0</v>
      </c>
      <c r="AL15" s="12"/>
      <c r="AM15" s="59" t="str">
        <f>'Listen 1 '!$R15</f>
        <v>–</v>
      </c>
      <c r="AN15" s="17">
        <v>0</v>
      </c>
      <c r="AO15" s="17">
        <v>0</v>
      </c>
      <c r="AP15" s="17">
        <f>AN15*3</f>
        <v>0</v>
      </c>
      <c r="AQ15" s="14"/>
    </row>
    <row r="16" spans="12:39" ht="14.25">
      <c r="L16" s="79"/>
      <c r="M16" t="s">
        <v>138</v>
      </c>
      <c r="P16" t="str">
        <f>'Listen 1 '!$L$11</f>
        <v>Fully armoured</v>
      </c>
      <c r="Q16" s="7" t="str">
        <f>'Listen 1 '!$K$12</f>
        <v>HF</v>
      </c>
      <c r="R16" s="11" t="str">
        <f t="shared" si="0"/>
        <v>Fully armoured HF</v>
      </c>
      <c r="S16" s="16">
        <v>12</v>
      </c>
      <c r="T16" s="16">
        <v>10</v>
      </c>
      <c r="U16" s="16">
        <v>7</v>
      </c>
      <c r="V16" s="16" t="s">
        <v>54</v>
      </c>
      <c r="W16" s="12"/>
      <c r="X16" s="20" t="str">
        <f>'Listen 1 '!N16</f>
        <v>Crossbow</v>
      </c>
      <c r="Y16" s="21">
        <v>0</v>
      </c>
      <c r="Z16" s="21">
        <v>0</v>
      </c>
      <c r="AA16" s="21">
        <f t="shared" si="2"/>
        <v>0</v>
      </c>
      <c r="AB16" s="12"/>
      <c r="AC16" s="21" t="str">
        <f>'Listen 1 '!O16</f>
        <v>Light Lancers</v>
      </c>
      <c r="AD16" s="16" t="s">
        <v>54</v>
      </c>
      <c r="AE16" s="16">
        <v>1</v>
      </c>
      <c r="AF16" s="16" t="s">
        <v>54</v>
      </c>
      <c r="AG16" s="12"/>
      <c r="AH16" s="21" t="str">
        <f>'Listen 1 '!P16</f>
        <v>Swordsmen</v>
      </c>
      <c r="AI16" s="16">
        <v>1</v>
      </c>
      <c r="AJ16" s="16">
        <v>2</v>
      </c>
      <c r="AK16" s="16">
        <f t="shared" si="4"/>
        <v>3</v>
      </c>
      <c r="AL16" s="12"/>
      <c r="AM16" s="5"/>
    </row>
    <row r="17" spans="11:38" ht="14.25">
      <c r="K17" s="9" t="str">
        <f>'Listen 1 '!K11</f>
        <v>DF</v>
      </c>
      <c r="L17" s="80">
        <v>2</v>
      </c>
      <c r="M17" s="85">
        <v>0</v>
      </c>
      <c r="P17" t="str">
        <f>'Listen 1 '!$L$12</f>
        <v>Heavily armoured</v>
      </c>
      <c r="Q17" s="7" t="str">
        <f>'Listen 1 '!$K$12</f>
        <v>HF</v>
      </c>
      <c r="R17" s="11" t="str">
        <f t="shared" si="0"/>
        <v>Heavily armoured HF</v>
      </c>
      <c r="S17" s="16">
        <v>11</v>
      </c>
      <c r="T17" s="16">
        <v>9</v>
      </c>
      <c r="U17" s="16">
        <v>6</v>
      </c>
      <c r="V17" s="16">
        <v>4</v>
      </c>
      <c r="W17" s="12"/>
      <c r="X17" s="20" t="str">
        <f>'Listen 1 '!N17</f>
        <v>Heavy Artillery</v>
      </c>
      <c r="Y17" s="21">
        <v>0</v>
      </c>
      <c r="Z17" s="21">
        <v>0</v>
      </c>
      <c r="AA17" s="21">
        <f t="shared" si="2"/>
        <v>0</v>
      </c>
      <c r="AB17" s="12"/>
      <c r="AC17" s="21" t="str">
        <f>'Listen 1 '!O17</f>
        <v>Light Spear</v>
      </c>
      <c r="AD17" s="16">
        <v>0</v>
      </c>
      <c r="AE17" s="16">
        <v>0</v>
      </c>
      <c r="AF17" s="16">
        <f t="shared" si="3"/>
        <v>0</v>
      </c>
      <c r="AG17" s="12"/>
      <c r="AH17" s="22" t="str">
        <f>'Listen 1 '!P17</f>
        <v>–</v>
      </c>
      <c r="AI17" s="17">
        <v>0</v>
      </c>
      <c r="AJ17" s="17">
        <v>0</v>
      </c>
      <c r="AK17" s="17">
        <f t="shared" si="4"/>
        <v>0</v>
      </c>
      <c r="AL17" s="14"/>
    </row>
    <row r="18" spans="11:34" ht="14.25">
      <c r="K18" s="11" t="str">
        <f>'Listen 1 '!K12</f>
        <v>HF</v>
      </c>
      <c r="L18" s="81">
        <v>2</v>
      </c>
      <c r="M18" s="84">
        <v>0</v>
      </c>
      <c r="P18" t="str">
        <f>'Listen 1 '!$L$13</f>
        <v>Armoured</v>
      </c>
      <c r="Q18" s="7" t="str">
        <f>'Listen 1 '!$K$12</f>
        <v>HF</v>
      </c>
      <c r="R18" s="11" t="str">
        <f t="shared" si="0"/>
        <v>Armoured HF</v>
      </c>
      <c r="S18" s="16">
        <v>10</v>
      </c>
      <c r="T18" s="16">
        <v>8</v>
      </c>
      <c r="U18" s="16">
        <v>5</v>
      </c>
      <c r="V18" s="16">
        <v>3</v>
      </c>
      <c r="W18" s="12"/>
      <c r="X18" s="20" t="str">
        <f>'Listen 1 '!N18</f>
        <v>Javelins</v>
      </c>
      <c r="Y18" s="21">
        <v>0</v>
      </c>
      <c r="Z18" s="21">
        <v>0</v>
      </c>
      <c r="AA18" s="21">
        <f t="shared" si="2"/>
        <v>0</v>
      </c>
      <c r="AB18" s="12"/>
      <c r="AC18" s="21" t="str">
        <f>'Listen 1 '!O18</f>
        <v>Pike</v>
      </c>
      <c r="AD18" s="16">
        <v>1</v>
      </c>
      <c r="AE18" s="16" t="s">
        <v>54</v>
      </c>
      <c r="AF18" s="16">
        <f t="shared" si="3"/>
        <v>3</v>
      </c>
      <c r="AG18" s="12"/>
      <c r="AH18" s="5"/>
    </row>
    <row r="19" spans="11:34" ht="14.25">
      <c r="K19" s="11" t="str">
        <f>'Listen 1 '!K13</f>
        <v>MF</v>
      </c>
      <c r="L19" s="81">
        <v>2</v>
      </c>
      <c r="M19" s="84">
        <v>0</v>
      </c>
      <c r="P19" t="str">
        <f>'Listen 1 '!$L$14</f>
        <v>Unarmoured</v>
      </c>
      <c r="Q19" s="7" t="str">
        <f>'Listen 1 '!$K$12</f>
        <v>HF</v>
      </c>
      <c r="R19" s="11" t="str">
        <f t="shared" si="0"/>
        <v>Unarmoured HF</v>
      </c>
      <c r="S19" s="16">
        <v>9</v>
      </c>
      <c r="T19" s="16">
        <v>7</v>
      </c>
      <c r="U19" s="16">
        <v>4</v>
      </c>
      <c r="V19" s="16">
        <v>2</v>
      </c>
      <c r="W19" s="12"/>
      <c r="X19" s="20" t="str">
        <f>'Listen 1 '!N19</f>
        <v>Light Artillery</v>
      </c>
      <c r="Y19" s="21">
        <v>0</v>
      </c>
      <c r="Z19" s="21">
        <v>0</v>
      </c>
      <c r="AA19" s="21">
        <v>6</v>
      </c>
      <c r="AB19" s="12"/>
      <c r="AC19" s="21" t="str">
        <f>'Listen 1 '!O19</f>
        <v>Pistol</v>
      </c>
      <c r="AD19" s="16" t="s">
        <v>54</v>
      </c>
      <c r="AE19" s="16">
        <v>1</v>
      </c>
      <c r="AF19" s="16" t="s">
        <v>54</v>
      </c>
      <c r="AG19" s="12"/>
      <c r="AH19" s="5"/>
    </row>
    <row r="20" spans="11:34" ht="14.25">
      <c r="K20" s="11" t="str">
        <f>'Listen 1 '!K14</f>
        <v>War</v>
      </c>
      <c r="L20" s="81">
        <v>2</v>
      </c>
      <c r="M20" s="84">
        <v>0</v>
      </c>
      <c r="P20" t="str">
        <f>'Listen 1 '!$L$15</f>
        <v>–</v>
      </c>
      <c r="Q20" s="7" t="str">
        <f>'Listen 1 '!$K$12</f>
        <v>HF</v>
      </c>
      <c r="R20" s="11" t="str">
        <f t="shared" si="0"/>
        <v>– HF</v>
      </c>
      <c r="S20" s="16" t="s">
        <v>54</v>
      </c>
      <c r="T20" s="16" t="s">
        <v>54</v>
      </c>
      <c r="U20" s="16" t="s">
        <v>54</v>
      </c>
      <c r="V20" s="16" t="s">
        <v>54</v>
      </c>
      <c r="W20" s="12"/>
      <c r="X20" s="20" t="str">
        <f>'Listen 1 '!N20</f>
        <v>Medium Artillery</v>
      </c>
      <c r="Y20" s="21">
        <v>0</v>
      </c>
      <c r="Z20" s="21">
        <v>0</v>
      </c>
      <c r="AA20" s="21">
        <f t="shared" si="2"/>
        <v>0</v>
      </c>
      <c r="AB20" s="12"/>
      <c r="AC20" s="21" t="str">
        <f>'Listen 1 '!O20</f>
        <v>Salvo</v>
      </c>
      <c r="AD20" s="16">
        <v>0</v>
      </c>
      <c r="AE20" s="16" t="s">
        <v>54</v>
      </c>
      <c r="AF20" s="16">
        <f t="shared" si="3"/>
        <v>0</v>
      </c>
      <c r="AG20" s="12"/>
      <c r="AH20" s="5"/>
    </row>
    <row r="21" spans="11:34" ht="14.25">
      <c r="K21" s="11" t="str">
        <f>'Listen 1 '!K15</f>
        <v>LF</v>
      </c>
      <c r="L21" s="81">
        <v>2</v>
      </c>
      <c r="M21" s="84">
        <v>0</v>
      </c>
      <c r="P21" t="str">
        <f>'Listen 1 '!$L$11</f>
        <v>Fully armoured</v>
      </c>
      <c r="Q21" s="7" t="str">
        <f>'Listen 1 '!$K$13</f>
        <v>MF</v>
      </c>
      <c r="R21" s="11" t="str">
        <f aca="true" t="shared" si="5" ref="R21:R45">P21&amp;" "&amp;Q21</f>
        <v>Fully armoured MF</v>
      </c>
      <c r="S21" s="16">
        <v>12</v>
      </c>
      <c r="T21" s="16">
        <v>10</v>
      </c>
      <c r="U21" s="16">
        <v>7</v>
      </c>
      <c r="V21" s="16" t="s">
        <v>54</v>
      </c>
      <c r="W21" s="12"/>
      <c r="X21" s="20" t="str">
        <f>'Listen 1 '!N21</f>
        <v>Musket*</v>
      </c>
      <c r="Y21" s="21">
        <v>2</v>
      </c>
      <c r="Z21" s="21">
        <v>0</v>
      </c>
      <c r="AA21" s="21">
        <f>Y21*3</f>
        <v>6</v>
      </c>
      <c r="AB21" s="12"/>
      <c r="AC21" s="21" t="str">
        <f>'Listen 1 '!O21</f>
        <v>Spearmen</v>
      </c>
      <c r="AD21" s="16">
        <v>0</v>
      </c>
      <c r="AE21" s="16" t="s">
        <v>54</v>
      </c>
      <c r="AF21" s="16">
        <f t="shared" si="3"/>
        <v>0</v>
      </c>
      <c r="AG21" s="12"/>
      <c r="AH21" s="5"/>
    </row>
    <row r="22" spans="11:34" ht="14.25">
      <c r="K22" s="11" t="str">
        <f>'Listen 1 '!K16</f>
        <v>Dr</v>
      </c>
      <c r="L22" s="81">
        <v>2</v>
      </c>
      <c r="M22" s="84">
        <v>1</v>
      </c>
      <c r="P22" t="str">
        <f>'Listen 1 '!$L$12</f>
        <v>Heavily armoured</v>
      </c>
      <c r="Q22" s="7" t="str">
        <f>'Listen 1 '!$K$13</f>
        <v>MF</v>
      </c>
      <c r="R22" s="11" t="str">
        <f t="shared" si="5"/>
        <v>Heavily armoured MF</v>
      </c>
      <c r="S22" s="16">
        <v>11</v>
      </c>
      <c r="T22" s="16">
        <v>9</v>
      </c>
      <c r="U22" s="16">
        <v>6</v>
      </c>
      <c r="V22" s="16">
        <v>4</v>
      </c>
      <c r="W22" s="12"/>
      <c r="X22" s="20" t="str">
        <f>'Listen 1 '!N22</f>
        <v>Musket</v>
      </c>
      <c r="Y22" s="21">
        <v>3</v>
      </c>
      <c r="Z22" s="21">
        <v>0</v>
      </c>
      <c r="AA22" s="21">
        <f>Y22*3</f>
        <v>9</v>
      </c>
      <c r="AB22" s="12"/>
      <c r="AC22" s="22" t="str">
        <f>'Listen 1 '!O22</f>
        <v>–</v>
      </c>
      <c r="AD22" s="17">
        <v>0</v>
      </c>
      <c r="AE22" s="17">
        <v>0</v>
      </c>
      <c r="AF22" s="17">
        <f t="shared" si="3"/>
        <v>0</v>
      </c>
      <c r="AG22" s="14"/>
      <c r="AH22" s="5"/>
    </row>
    <row r="23" spans="11:29" ht="14.25">
      <c r="K23" s="11" t="str">
        <f>'Listen 1 '!K17</f>
        <v>Mb</v>
      </c>
      <c r="L23" s="81">
        <v>2</v>
      </c>
      <c r="M23" s="84">
        <v>0</v>
      </c>
      <c r="P23" t="str">
        <f>'Listen 1 '!$L$13</f>
        <v>Armoured</v>
      </c>
      <c r="Q23" s="7" t="str">
        <f>'Listen 1 '!$K$13</f>
        <v>MF</v>
      </c>
      <c r="R23" s="11" t="str">
        <f t="shared" si="5"/>
        <v>Armoured MF</v>
      </c>
      <c r="S23" s="16">
        <v>10</v>
      </c>
      <c r="T23" s="16">
        <v>8</v>
      </c>
      <c r="U23" s="16">
        <v>5</v>
      </c>
      <c r="V23" s="16">
        <v>3</v>
      </c>
      <c r="W23" s="12"/>
      <c r="X23" s="20" t="str">
        <f>'Listen 1 '!N23</f>
        <v>Pistol</v>
      </c>
      <c r="Y23" s="21">
        <v>0</v>
      </c>
      <c r="Z23" s="21">
        <v>2</v>
      </c>
      <c r="AA23" s="21">
        <f t="shared" si="2"/>
        <v>0</v>
      </c>
      <c r="AB23" s="12"/>
      <c r="AC23" s="5"/>
    </row>
    <row r="24" spans="11:29" ht="14.25">
      <c r="K24" s="11" t="str">
        <f>'Listen 1 '!K18</f>
        <v>Gen</v>
      </c>
      <c r="L24" s="81">
        <v>3</v>
      </c>
      <c r="M24" s="84">
        <v>0</v>
      </c>
      <c r="P24" t="str">
        <f>'Listen 1 '!$L$14</f>
        <v>Unarmoured</v>
      </c>
      <c r="Q24" s="7" t="str">
        <f>'Listen 1 '!$K$13</f>
        <v>MF</v>
      </c>
      <c r="R24" s="11" t="str">
        <f t="shared" si="5"/>
        <v>Unarmoured MF</v>
      </c>
      <c r="S24" s="16">
        <v>9</v>
      </c>
      <c r="T24" s="16">
        <v>7</v>
      </c>
      <c r="U24" s="16">
        <v>4</v>
      </c>
      <c r="V24" s="16">
        <v>2</v>
      </c>
      <c r="W24" s="12"/>
      <c r="X24" s="20" t="str">
        <f>'Listen 1 '!N24</f>
        <v>Salvo</v>
      </c>
      <c r="Y24" s="21">
        <v>3</v>
      </c>
      <c r="Z24" s="21">
        <v>0</v>
      </c>
      <c r="AA24" s="21">
        <f t="shared" si="2"/>
        <v>9</v>
      </c>
      <c r="AB24" s="12"/>
      <c r="AC24" s="5"/>
    </row>
    <row r="25" spans="11:29" ht="14.25">
      <c r="K25" s="11" t="str">
        <f>'Listen 1 '!K19</f>
        <v>Cvls</v>
      </c>
      <c r="L25" s="81">
        <v>3</v>
      </c>
      <c r="M25" s="84">
        <v>1</v>
      </c>
      <c r="P25" t="str">
        <f>'Listen 1 '!$L$15</f>
        <v>–</v>
      </c>
      <c r="Q25" s="7" t="str">
        <f>'Listen 1 '!$K$13</f>
        <v>MF</v>
      </c>
      <c r="R25" s="11" t="str">
        <f t="shared" si="5"/>
        <v>– MF</v>
      </c>
      <c r="S25" s="16" t="s">
        <v>54</v>
      </c>
      <c r="T25" s="16" t="s">
        <v>54</v>
      </c>
      <c r="U25" s="16" t="s">
        <v>54</v>
      </c>
      <c r="V25" s="16" t="s">
        <v>54</v>
      </c>
      <c r="W25" s="12"/>
      <c r="X25" s="20" t="str">
        <f>'Listen 1 '!N25</f>
        <v>Sling</v>
      </c>
      <c r="Y25" s="21">
        <v>0</v>
      </c>
      <c r="Z25" s="21">
        <v>0</v>
      </c>
      <c r="AA25" s="21">
        <f t="shared" si="2"/>
        <v>0</v>
      </c>
      <c r="AB25" s="12"/>
      <c r="AC25" s="5"/>
    </row>
    <row r="26" spans="11:32" ht="14.25">
      <c r="K26" s="11" t="str">
        <f>'Listen 1 '!K20</f>
        <v>Ho</v>
      </c>
      <c r="L26" s="81">
        <v>3</v>
      </c>
      <c r="M26" s="84">
        <v>1</v>
      </c>
      <c r="P26" t="str">
        <f>'Listen 1 '!$L$11</f>
        <v>Fully armoured</v>
      </c>
      <c r="Q26" s="7" t="str">
        <f>'Listen 1 '!$K$14</f>
        <v>War</v>
      </c>
      <c r="R26" s="11" t="str">
        <f t="shared" si="5"/>
        <v>Fully armoured War</v>
      </c>
      <c r="S26" s="16">
        <v>12</v>
      </c>
      <c r="T26" s="16">
        <v>10</v>
      </c>
      <c r="U26" s="16">
        <v>7</v>
      </c>
      <c r="V26" s="16" t="s">
        <v>54</v>
      </c>
      <c r="W26" s="12"/>
      <c r="X26" s="23" t="str">
        <f>'Listen 1 '!N26</f>
        <v>–</v>
      </c>
      <c r="Y26" s="22">
        <v>0</v>
      </c>
      <c r="Z26" s="22">
        <v>0</v>
      </c>
      <c r="AA26" s="22">
        <f t="shared" si="2"/>
        <v>0</v>
      </c>
      <c r="AB26" s="14"/>
      <c r="AC26" s="6"/>
      <c r="AD26" s="21"/>
      <c r="AE26" s="21"/>
      <c r="AF26" s="21"/>
    </row>
    <row r="27" spans="11:28" ht="14.25">
      <c r="K27" s="11" t="str">
        <f>'Listen 1 '!K21</f>
        <v>DHo</v>
      </c>
      <c r="L27" s="81">
        <v>3</v>
      </c>
      <c r="M27" s="84">
        <v>1</v>
      </c>
      <c r="P27" t="str">
        <f>'Listen 1 '!$L$12</f>
        <v>Heavily armoured</v>
      </c>
      <c r="Q27" s="7" t="str">
        <f>'Listen 1 '!$K$14</f>
        <v>War</v>
      </c>
      <c r="R27" s="11" t="str">
        <f t="shared" si="5"/>
        <v>Heavily armoured War</v>
      </c>
      <c r="S27" s="16">
        <v>11</v>
      </c>
      <c r="T27" s="16">
        <v>9</v>
      </c>
      <c r="U27" s="16">
        <v>6</v>
      </c>
      <c r="V27" s="16">
        <v>4</v>
      </c>
      <c r="W27" s="12"/>
      <c r="X27" s="5"/>
      <c r="Y27" s="5"/>
      <c r="Z27" s="5"/>
      <c r="AA27" s="5"/>
      <c r="AB27" s="88"/>
    </row>
    <row r="28" spans="11:28" ht="14.25">
      <c r="K28" s="11" t="str">
        <f>'Listen 1 '!K22</f>
        <v>LH</v>
      </c>
      <c r="L28" s="81">
        <v>3</v>
      </c>
      <c r="M28" s="84">
        <v>1</v>
      </c>
      <c r="P28" t="str">
        <f>'Listen 1 '!$L$13</f>
        <v>Armoured</v>
      </c>
      <c r="Q28" s="7" t="str">
        <f>'Listen 1 '!$K$14</f>
        <v>War</v>
      </c>
      <c r="R28" s="11" t="str">
        <f t="shared" si="5"/>
        <v>Armoured War</v>
      </c>
      <c r="S28" s="16">
        <v>10</v>
      </c>
      <c r="T28" s="16">
        <v>8</v>
      </c>
      <c r="U28" s="16">
        <v>5</v>
      </c>
      <c r="V28" s="16">
        <v>3</v>
      </c>
      <c r="W28" s="12"/>
      <c r="X28" s="18"/>
      <c r="Y28" s="76">
        <v>2</v>
      </c>
      <c r="Z28" s="76">
        <v>3</v>
      </c>
      <c r="AA28" s="73">
        <v>4</v>
      </c>
      <c r="AB28" s="89">
        <v>5</v>
      </c>
    </row>
    <row r="29" spans="11:28" ht="14.25">
      <c r="K29" s="11" t="str">
        <f>'Listen 1 '!K23</f>
        <v>Cv</v>
      </c>
      <c r="L29" s="81">
        <v>3</v>
      </c>
      <c r="M29" s="84">
        <v>1</v>
      </c>
      <c r="P29" t="str">
        <f>'Listen 1 '!$L$14</f>
        <v>Unarmoured</v>
      </c>
      <c r="Q29" s="7" t="str">
        <f>'Listen 1 '!$K$14</f>
        <v>War</v>
      </c>
      <c r="R29" s="11" t="str">
        <f t="shared" si="5"/>
        <v>Unarmoured War</v>
      </c>
      <c r="S29" s="16">
        <v>9</v>
      </c>
      <c r="T29" s="16">
        <v>7</v>
      </c>
      <c r="U29" s="16">
        <v>4</v>
      </c>
      <c r="V29" s="16">
        <v>2</v>
      </c>
      <c r="W29" s="12"/>
      <c r="X29" s="20" t="str">
        <f>'Listen 1 '!$U11</f>
        <v>Great Commander</v>
      </c>
      <c r="Y29" s="21">
        <v>80</v>
      </c>
      <c r="Z29" s="21">
        <f>Y29-10</f>
        <v>70</v>
      </c>
      <c r="AA29" s="77">
        <v>0</v>
      </c>
      <c r="AB29" s="90">
        <v>2</v>
      </c>
    </row>
    <row r="30" spans="11:28" ht="14.25">
      <c r="K30" s="11" t="str">
        <f>'Listen 1 '!K24</f>
        <v>Cm</v>
      </c>
      <c r="L30" s="81">
        <v>3</v>
      </c>
      <c r="M30" s="84">
        <v>1</v>
      </c>
      <c r="P30" t="str">
        <f>'Listen 1 '!$L$15</f>
        <v>–</v>
      </c>
      <c r="Q30" s="7" t="str">
        <f>'Listen 1 '!$K$14</f>
        <v>War</v>
      </c>
      <c r="R30" s="11" t="str">
        <f t="shared" si="5"/>
        <v>– War</v>
      </c>
      <c r="S30" s="16" t="s">
        <v>54</v>
      </c>
      <c r="T30" s="16" t="s">
        <v>54</v>
      </c>
      <c r="U30" s="16" t="s">
        <v>54</v>
      </c>
      <c r="V30" s="16" t="s">
        <v>54</v>
      </c>
      <c r="W30" s="12"/>
      <c r="X30" s="20" t="str">
        <f>'Listen 1 '!$U12</f>
        <v>Field Commander</v>
      </c>
      <c r="Y30" s="21">
        <v>50</v>
      </c>
      <c r="Z30" s="21">
        <f>Y30-10</f>
        <v>40</v>
      </c>
      <c r="AA30" s="77">
        <v>0</v>
      </c>
      <c r="AB30" s="90">
        <v>1</v>
      </c>
    </row>
    <row r="31" spans="11:28" ht="14.25">
      <c r="K31" s="11" t="str">
        <f>'Listen 1 '!K25</f>
        <v>El</v>
      </c>
      <c r="L31" s="81">
        <v>5</v>
      </c>
      <c r="M31" s="84">
        <v>0</v>
      </c>
      <c r="P31" t="str">
        <f>'Listen 1 '!$L$11</f>
        <v>Fully armoured</v>
      </c>
      <c r="Q31" s="7" t="str">
        <f>'Listen 1 '!$K$15</f>
        <v>LF</v>
      </c>
      <c r="R31" s="11" t="str">
        <f t="shared" si="5"/>
        <v>Fully armoured LF</v>
      </c>
      <c r="S31" s="16">
        <v>12</v>
      </c>
      <c r="T31" s="16">
        <v>10</v>
      </c>
      <c r="U31" s="16">
        <v>7</v>
      </c>
      <c r="V31" s="16" t="s">
        <v>54</v>
      </c>
      <c r="W31" s="12"/>
      <c r="X31" s="20" t="str">
        <f>'Listen 1 '!$U13</f>
        <v>Troop Commander</v>
      </c>
      <c r="Y31" s="21">
        <v>35</v>
      </c>
      <c r="Z31" s="21">
        <f>Y31-10</f>
        <v>25</v>
      </c>
      <c r="AA31" s="77">
        <v>0</v>
      </c>
      <c r="AB31" s="90">
        <v>0</v>
      </c>
    </row>
    <row r="32" spans="11:28" ht="14.25">
      <c r="K32" s="20" t="str">
        <f>'Listen 1 '!K26</f>
        <v>BWg</v>
      </c>
      <c r="L32" s="82">
        <v>4</v>
      </c>
      <c r="M32" s="84">
        <v>0</v>
      </c>
      <c r="P32" t="str">
        <f>'Listen 1 '!$L$12</f>
        <v>Heavily armoured</v>
      </c>
      <c r="Q32" s="7" t="str">
        <f>'Listen 1 '!$K$15</f>
        <v>LF</v>
      </c>
      <c r="R32" s="11" t="str">
        <f t="shared" si="5"/>
        <v>Heavily armoured LF</v>
      </c>
      <c r="S32" s="16">
        <v>11</v>
      </c>
      <c r="T32" s="16">
        <v>9</v>
      </c>
      <c r="U32" s="16">
        <v>6</v>
      </c>
      <c r="V32" s="16">
        <v>4</v>
      </c>
      <c r="W32" s="12"/>
      <c r="X32" s="59" t="str">
        <f>'Listen 1 '!$U14</f>
        <v>–</v>
      </c>
      <c r="Y32" s="22">
        <v>0</v>
      </c>
      <c r="Z32" s="22">
        <v>0</v>
      </c>
      <c r="AA32" s="78">
        <v>0</v>
      </c>
      <c r="AB32" s="91">
        <v>0</v>
      </c>
    </row>
    <row r="33" spans="11:27" ht="14.25">
      <c r="K33" s="20" t="str">
        <f>'Listen 1 '!K27</f>
        <v>LArt</v>
      </c>
      <c r="L33" s="82">
        <v>2</v>
      </c>
      <c r="M33" s="84">
        <v>0</v>
      </c>
      <c r="P33" t="str">
        <f>'Listen 1 '!$L$13</f>
        <v>Armoured</v>
      </c>
      <c r="Q33" s="7" t="str">
        <f>'Listen 1 '!$K$15</f>
        <v>LF</v>
      </c>
      <c r="R33" s="11" t="str">
        <f t="shared" si="5"/>
        <v>Armoured LF</v>
      </c>
      <c r="S33" s="16">
        <v>10</v>
      </c>
      <c r="T33" s="16">
        <v>8</v>
      </c>
      <c r="U33" s="16">
        <v>5</v>
      </c>
      <c r="V33" s="16">
        <v>3</v>
      </c>
      <c r="W33" s="12"/>
      <c r="X33" s="5"/>
      <c r="Y33" s="5"/>
      <c r="Z33" s="5"/>
      <c r="AA33" s="5"/>
    </row>
    <row r="34" spans="11:27" ht="14.25">
      <c r="K34" s="20" t="str">
        <f>'Listen 1 '!K28</f>
        <v>MArt</v>
      </c>
      <c r="L34" s="82">
        <v>2</v>
      </c>
      <c r="M34" s="84">
        <v>0</v>
      </c>
      <c r="P34" t="str">
        <f>'Listen 1 '!$L$14</f>
        <v>Unarmoured</v>
      </c>
      <c r="Q34" s="7" t="str">
        <f>'Listen 1 '!$K$15</f>
        <v>LF</v>
      </c>
      <c r="R34" s="11" t="str">
        <f t="shared" si="5"/>
        <v>Unarmoured LF</v>
      </c>
      <c r="S34" s="16">
        <v>9</v>
      </c>
      <c r="T34" s="16">
        <v>7</v>
      </c>
      <c r="U34" s="16">
        <v>4</v>
      </c>
      <c r="V34" s="16">
        <v>2</v>
      </c>
      <c r="W34" s="12"/>
      <c r="X34" s="5"/>
      <c r="Y34" s="5"/>
      <c r="Z34" s="5"/>
      <c r="AA34" s="5"/>
    </row>
    <row r="35" spans="11:27" ht="14.25">
      <c r="K35" s="20" t="str">
        <f>'Listen 1 '!K29</f>
        <v>HArt</v>
      </c>
      <c r="L35" s="82">
        <v>2</v>
      </c>
      <c r="M35" s="84">
        <v>0</v>
      </c>
      <c r="P35" t="str">
        <f>'Listen 1 '!$L$15</f>
        <v>–</v>
      </c>
      <c r="Q35" s="7" t="str">
        <f>'Listen 1 '!$K$15</f>
        <v>LF</v>
      </c>
      <c r="R35" s="11" t="str">
        <f t="shared" si="5"/>
        <v>– LF</v>
      </c>
      <c r="S35" s="16" t="s">
        <v>54</v>
      </c>
      <c r="T35" s="16" t="s">
        <v>54</v>
      </c>
      <c r="U35" s="16" t="s">
        <v>54</v>
      </c>
      <c r="V35" s="16" t="s">
        <v>54</v>
      </c>
      <c r="W35" s="12"/>
      <c r="X35" s="5"/>
      <c r="Y35" s="5"/>
      <c r="Z35" s="5"/>
      <c r="AA35" s="5"/>
    </row>
    <row r="36" spans="11:27" ht="14.25">
      <c r="K36" s="11" t="str">
        <f>'Listen 1 '!K30</f>
        <v>–</v>
      </c>
      <c r="L36" s="81">
        <v>5</v>
      </c>
      <c r="M36" s="84">
        <v>0</v>
      </c>
      <c r="P36" t="str">
        <f>'Listen 1 '!$L$11</f>
        <v>Fully armoured</v>
      </c>
      <c r="Q36" s="7" t="str">
        <f>'Listen 1 '!$K$16</f>
        <v>Dr</v>
      </c>
      <c r="R36" s="11" t="str">
        <f t="shared" si="5"/>
        <v>Fully armoured Dr</v>
      </c>
      <c r="S36" s="16" t="s">
        <v>54</v>
      </c>
      <c r="T36" s="16" t="s">
        <v>54</v>
      </c>
      <c r="U36" s="16" t="s">
        <v>54</v>
      </c>
      <c r="V36" s="16" t="s">
        <v>54</v>
      </c>
      <c r="W36" s="12"/>
      <c r="X36" s="5"/>
      <c r="Y36" s="5"/>
      <c r="Z36" s="5"/>
      <c r="AA36" s="5"/>
    </row>
    <row r="37" spans="11:27" ht="14.25">
      <c r="K37" s="13"/>
      <c r="L37" s="83">
        <v>5</v>
      </c>
      <c r="M37" s="86">
        <v>0</v>
      </c>
      <c r="P37" t="str">
        <f>'Listen 1 '!$L$12</f>
        <v>Heavily armoured</v>
      </c>
      <c r="Q37" s="7" t="str">
        <f>'Listen 1 '!$K$16</f>
        <v>Dr</v>
      </c>
      <c r="R37" s="11" t="str">
        <f t="shared" si="5"/>
        <v>Heavily armoured Dr</v>
      </c>
      <c r="S37" s="16" t="s">
        <v>54</v>
      </c>
      <c r="T37" s="16" t="s">
        <v>54</v>
      </c>
      <c r="U37" s="16" t="s">
        <v>54</v>
      </c>
      <c r="V37" s="16" t="s">
        <v>54</v>
      </c>
      <c r="W37" s="12"/>
      <c r="X37" s="5"/>
      <c r="Y37" s="5"/>
      <c r="Z37" s="5"/>
      <c r="AA37" s="5"/>
    </row>
    <row r="38" spans="16:27" ht="14.25">
      <c r="P38" t="str">
        <f>'Listen 1 '!$L$13</f>
        <v>Armoured</v>
      </c>
      <c r="Q38" s="7" t="str">
        <f>'Listen 1 '!$K$16</f>
        <v>Dr</v>
      </c>
      <c r="R38" s="11" t="str">
        <f t="shared" si="5"/>
        <v>Armoured Dr</v>
      </c>
      <c r="S38" s="16" t="s">
        <v>54</v>
      </c>
      <c r="T38" s="16" t="s">
        <v>54</v>
      </c>
      <c r="U38" s="16" t="s">
        <v>54</v>
      </c>
      <c r="V38" s="16" t="s">
        <v>54</v>
      </c>
      <c r="W38" s="12"/>
      <c r="X38" s="6"/>
      <c r="Y38" s="5"/>
      <c r="Z38" s="5"/>
      <c r="AA38" s="5"/>
    </row>
    <row r="39" spans="11:27" ht="14.25">
      <c r="K39" s="9" t="str">
        <f>'Listen 1 '!$T11</f>
        <v>Sub</v>
      </c>
      <c r="L39" s="73">
        <v>2</v>
      </c>
      <c r="P39" t="str">
        <f>'Listen 1 '!$L$14</f>
        <v>Unarmoured</v>
      </c>
      <c r="Q39" s="7" t="str">
        <f>'Listen 1 '!$K$16</f>
        <v>Dr</v>
      </c>
      <c r="R39" s="11" t="str">
        <f t="shared" si="5"/>
        <v>Unarmoured Dr</v>
      </c>
      <c r="S39" s="16">
        <v>10</v>
      </c>
      <c r="T39" s="16">
        <v>8</v>
      </c>
      <c r="U39" s="16">
        <v>5</v>
      </c>
      <c r="V39" s="16">
        <v>3</v>
      </c>
      <c r="W39" s="12"/>
      <c r="X39" s="5"/>
      <c r="Y39" s="5"/>
      <c r="Z39" s="5"/>
      <c r="AA39" s="5"/>
    </row>
    <row r="40" spans="11:27" ht="14.25">
      <c r="K40" s="11" t="s">
        <v>136</v>
      </c>
      <c r="L40" s="74">
        <v>3</v>
      </c>
      <c r="P40" t="str">
        <f>'Listen 1 '!$L$15</f>
        <v>–</v>
      </c>
      <c r="Q40" s="7" t="str">
        <f>'Listen 1 '!$K$16</f>
        <v>Dr</v>
      </c>
      <c r="R40" s="11" t="str">
        <f t="shared" si="5"/>
        <v>– Dr</v>
      </c>
      <c r="S40" s="16" t="s">
        <v>54</v>
      </c>
      <c r="T40" s="16" t="s">
        <v>54</v>
      </c>
      <c r="U40" s="16" t="s">
        <v>54</v>
      </c>
      <c r="V40" s="16" t="s">
        <v>54</v>
      </c>
      <c r="W40" s="12"/>
      <c r="X40" s="5"/>
      <c r="Y40" s="5"/>
      <c r="Z40" s="5"/>
      <c r="AA40" s="5"/>
    </row>
    <row r="41" spans="11:27" ht="14.25">
      <c r="K41" s="11" t="s">
        <v>91</v>
      </c>
      <c r="L41" s="74">
        <v>2</v>
      </c>
      <c r="P41" t="str">
        <f>'Listen 1 '!$L$11</f>
        <v>Fully armoured</v>
      </c>
      <c r="Q41" s="7" t="str">
        <f>'Listen 1 '!$K$17</f>
        <v>Mb</v>
      </c>
      <c r="R41" s="11" t="str">
        <f t="shared" si="5"/>
        <v>Fully armoured Mb</v>
      </c>
      <c r="S41" s="16">
        <v>12</v>
      </c>
      <c r="T41" s="16">
        <v>10</v>
      </c>
      <c r="U41" s="16">
        <v>7</v>
      </c>
      <c r="V41" s="16" t="s">
        <v>54</v>
      </c>
      <c r="W41" s="12"/>
      <c r="X41" s="5"/>
      <c r="Y41" s="5"/>
      <c r="Z41" s="5"/>
      <c r="AA41" s="5"/>
    </row>
    <row r="42" spans="11:27" ht="14.25">
      <c r="K42" s="13" t="s">
        <v>55</v>
      </c>
      <c r="L42" s="75">
        <v>4</v>
      </c>
      <c r="P42" t="str">
        <f>'Listen 1 '!$L$12</f>
        <v>Heavily armoured</v>
      </c>
      <c r="Q42" s="7" t="str">
        <f>'Listen 1 '!$K$17</f>
        <v>Mb</v>
      </c>
      <c r="R42" s="11" t="str">
        <f t="shared" si="5"/>
        <v>Heavily armoured Mb</v>
      </c>
      <c r="S42" s="16">
        <v>11</v>
      </c>
      <c r="T42" s="16">
        <v>9</v>
      </c>
      <c r="U42" s="16">
        <v>6</v>
      </c>
      <c r="V42" s="16">
        <v>4</v>
      </c>
      <c r="W42" s="12"/>
      <c r="X42" s="5"/>
      <c r="Y42" s="5"/>
      <c r="Z42" s="5"/>
      <c r="AA42" s="5"/>
    </row>
    <row r="43" spans="16:27" ht="14.25">
      <c r="P43" t="str">
        <f>'Listen 1 '!$L$13</f>
        <v>Armoured</v>
      </c>
      <c r="Q43" s="7" t="str">
        <f>'Listen 1 '!$K$17</f>
        <v>Mb</v>
      </c>
      <c r="R43" s="11" t="str">
        <f t="shared" si="5"/>
        <v>Armoured Mb</v>
      </c>
      <c r="S43" s="16">
        <v>10</v>
      </c>
      <c r="T43" s="16">
        <v>8</v>
      </c>
      <c r="U43" s="16">
        <v>5</v>
      </c>
      <c r="V43" s="16">
        <v>3</v>
      </c>
      <c r="W43" s="12"/>
      <c r="X43" s="5"/>
      <c r="Y43" s="5"/>
      <c r="Z43" s="5"/>
      <c r="AA43" s="5"/>
    </row>
    <row r="44" spans="16:27" ht="14.25">
      <c r="P44" t="str">
        <f>'Listen 1 '!$L$14</f>
        <v>Unarmoured</v>
      </c>
      <c r="Q44" s="7" t="str">
        <f>'Listen 1 '!$K$17</f>
        <v>Mb</v>
      </c>
      <c r="R44" s="11" t="str">
        <f t="shared" si="5"/>
        <v>Unarmoured Mb</v>
      </c>
      <c r="S44" s="16">
        <v>9</v>
      </c>
      <c r="T44" s="16">
        <v>7</v>
      </c>
      <c r="U44" s="16">
        <v>4</v>
      </c>
      <c r="V44" s="16">
        <v>2</v>
      </c>
      <c r="W44" s="12"/>
      <c r="X44" s="5"/>
      <c r="Y44" s="5"/>
      <c r="Z44" s="5"/>
      <c r="AA44" s="5"/>
    </row>
    <row r="45" spans="16:27" ht="14.25">
      <c r="P45" t="str">
        <f>'Listen 1 '!$L$15</f>
        <v>–</v>
      </c>
      <c r="Q45" s="7" t="str">
        <f>'Listen 1 '!$K$17</f>
        <v>Mb</v>
      </c>
      <c r="R45" s="11" t="str">
        <f t="shared" si="5"/>
        <v>– Mb</v>
      </c>
      <c r="S45" s="16" t="s">
        <v>54</v>
      </c>
      <c r="T45" s="16" t="s">
        <v>54</v>
      </c>
      <c r="U45" s="16" t="s">
        <v>54</v>
      </c>
      <c r="V45" s="16" t="s">
        <v>54</v>
      </c>
      <c r="W45" s="12"/>
      <c r="X45" s="6"/>
      <c r="Y45" s="5"/>
      <c r="Z45" s="5"/>
      <c r="AA45" s="5"/>
    </row>
    <row r="46" spans="16:27" ht="14.25">
      <c r="P46" t="str">
        <f>'Listen 1 '!$L$11</f>
        <v>Fully armoured</v>
      </c>
      <c r="Q46" s="7" t="str">
        <f>'Listen 1 '!$K$18</f>
        <v>Gen</v>
      </c>
      <c r="R46" s="11" t="str">
        <f aca="true" t="shared" si="6" ref="R46:R77">P46&amp;" "&amp;Q46</f>
        <v>Fully armoured Gen</v>
      </c>
      <c r="S46" s="16">
        <v>22</v>
      </c>
      <c r="T46" s="16">
        <v>18</v>
      </c>
      <c r="U46" s="16">
        <v>12</v>
      </c>
      <c r="V46" s="16">
        <v>8</v>
      </c>
      <c r="W46" s="12"/>
      <c r="X46" s="5"/>
      <c r="Y46" s="5"/>
      <c r="Z46" s="5"/>
      <c r="AA46" s="5"/>
    </row>
    <row r="47" spans="16:27" ht="14.25">
      <c r="P47" t="str">
        <f>'Listen 1 '!$L$12</f>
        <v>Heavily armoured</v>
      </c>
      <c r="Q47" s="7" t="str">
        <f>'Listen 1 '!$K$18</f>
        <v>Gen</v>
      </c>
      <c r="R47" s="11" t="str">
        <f t="shared" si="6"/>
        <v>Heavily armoured Gen</v>
      </c>
      <c r="S47" s="16">
        <v>22</v>
      </c>
      <c r="T47" s="16">
        <v>18</v>
      </c>
      <c r="U47" s="16">
        <v>12</v>
      </c>
      <c r="V47" s="16">
        <v>8</v>
      </c>
      <c r="W47" s="12"/>
      <c r="X47" s="5"/>
      <c r="Y47" s="5"/>
      <c r="Z47" s="5"/>
      <c r="AA47" s="5"/>
    </row>
    <row r="48" spans="16:27" ht="14.25">
      <c r="P48" t="str">
        <f>'Listen 1 '!$L$13</f>
        <v>Armoured</v>
      </c>
      <c r="Q48" s="7" t="str">
        <f>'Listen 1 '!$K$18</f>
        <v>Gen</v>
      </c>
      <c r="R48" s="11" t="str">
        <f t="shared" si="6"/>
        <v>Armoured Gen</v>
      </c>
      <c r="S48" s="16" t="s">
        <v>54</v>
      </c>
      <c r="T48" s="16" t="s">
        <v>54</v>
      </c>
      <c r="U48" s="16" t="s">
        <v>54</v>
      </c>
      <c r="V48" s="16" t="s">
        <v>54</v>
      </c>
      <c r="W48" s="12"/>
      <c r="X48" s="5"/>
      <c r="Y48" s="5"/>
      <c r="Z48" s="5"/>
      <c r="AA48" s="5"/>
    </row>
    <row r="49" spans="16:27" ht="14.25">
      <c r="P49" t="str">
        <f>'Listen 1 '!$L$14</f>
        <v>Unarmoured</v>
      </c>
      <c r="Q49" s="7" t="str">
        <f>'Listen 1 '!$K$18</f>
        <v>Gen</v>
      </c>
      <c r="R49" s="11" t="str">
        <f t="shared" si="6"/>
        <v>Unarmoured Gen</v>
      </c>
      <c r="S49" s="16" t="s">
        <v>54</v>
      </c>
      <c r="T49" s="16" t="s">
        <v>54</v>
      </c>
      <c r="U49" s="16" t="s">
        <v>54</v>
      </c>
      <c r="V49" s="16" t="s">
        <v>54</v>
      </c>
      <c r="W49" s="12"/>
      <c r="X49" s="5"/>
      <c r="Y49" s="5"/>
      <c r="Z49" s="5"/>
      <c r="AA49" s="5"/>
    </row>
    <row r="50" spans="16:27" ht="14.25">
      <c r="P50" t="str">
        <f>'Listen 1 '!$L$15</f>
        <v>–</v>
      </c>
      <c r="Q50" s="7" t="str">
        <f>'Listen 1 '!$K$18</f>
        <v>Gen</v>
      </c>
      <c r="R50" s="11" t="str">
        <f t="shared" si="6"/>
        <v>– Gen</v>
      </c>
      <c r="S50" s="16" t="s">
        <v>54</v>
      </c>
      <c r="T50" s="16" t="s">
        <v>54</v>
      </c>
      <c r="U50" s="16" t="s">
        <v>54</v>
      </c>
      <c r="V50" s="16" t="s">
        <v>54</v>
      </c>
      <c r="W50" s="12"/>
      <c r="X50" s="5"/>
      <c r="Y50" s="5"/>
      <c r="Z50" s="5"/>
      <c r="AA50" s="5"/>
    </row>
    <row r="51" spans="16:27" ht="14.25">
      <c r="P51" t="str">
        <f>'Listen 1 '!$L$11</f>
        <v>Fully armoured</v>
      </c>
      <c r="Q51" s="7" t="str">
        <f>'Listen 1 '!$K$19</f>
        <v>Cvls</v>
      </c>
      <c r="R51" s="11" t="str">
        <f t="shared" si="6"/>
        <v>Fully armoured Cvls</v>
      </c>
      <c r="S51" s="16" t="s">
        <v>54</v>
      </c>
      <c r="T51" s="16" t="s">
        <v>54</v>
      </c>
      <c r="U51" s="16" t="s">
        <v>54</v>
      </c>
      <c r="V51" s="16" t="s">
        <v>54</v>
      </c>
      <c r="W51" s="12"/>
      <c r="X51" s="6"/>
      <c r="Y51" s="5"/>
      <c r="Z51" s="5"/>
      <c r="AA51" s="5"/>
    </row>
    <row r="52" spans="16:23" ht="14.25">
      <c r="P52" t="str">
        <f>'Listen 1 '!$L$12</f>
        <v>Heavily armoured</v>
      </c>
      <c r="Q52" s="7" t="str">
        <f>'Listen 1 '!$K$19</f>
        <v>Cvls</v>
      </c>
      <c r="R52" s="11" t="str">
        <f t="shared" si="6"/>
        <v>Heavily armoured Cvls</v>
      </c>
      <c r="S52" s="16" t="s">
        <v>54</v>
      </c>
      <c r="T52" s="16" t="s">
        <v>54</v>
      </c>
      <c r="U52" s="16" t="s">
        <v>54</v>
      </c>
      <c r="V52" s="16" t="s">
        <v>54</v>
      </c>
      <c r="W52" s="12"/>
    </row>
    <row r="53" spans="16:23" ht="14.25">
      <c r="P53" t="str">
        <f>'Listen 1 '!$L$13</f>
        <v>Armoured</v>
      </c>
      <c r="Q53" s="7" t="str">
        <f>'Listen 1 '!$K$19</f>
        <v>Cvls</v>
      </c>
      <c r="R53" s="11" t="str">
        <f t="shared" si="6"/>
        <v>Armoured Cvls</v>
      </c>
      <c r="S53" s="16">
        <v>19</v>
      </c>
      <c r="T53" s="16">
        <v>16</v>
      </c>
      <c r="U53" s="16">
        <v>11</v>
      </c>
      <c r="V53" s="16">
        <v>7</v>
      </c>
      <c r="W53" s="12"/>
    </row>
    <row r="54" spans="16:23" ht="14.25">
      <c r="P54" t="str">
        <f>'Listen 1 '!$L$14</f>
        <v>Unarmoured</v>
      </c>
      <c r="Q54" s="7" t="str">
        <f>'Listen 1 '!$K$19</f>
        <v>Cvls</v>
      </c>
      <c r="R54" s="11" t="str">
        <f t="shared" si="6"/>
        <v>Unarmoured Cvls</v>
      </c>
      <c r="S54" s="16">
        <v>16</v>
      </c>
      <c r="T54" s="16">
        <v>13</v>
      </c>
      <c r="U54" s="16">
        <v>8</v>
      </c>
      <c r="V54" s="16">
        <v>5</v>
      </c>
      <c r="W54" s="12"/>
    </row>
    <row r="55" spans="16:23" ht="14.25">
      <c r="P55" t="str">
        <f>'Listen 1 '!$L$15</f>
        <v>–</v>
      </c>
      <c r="Q55" s="7" t="str">
        <f>'Listen 1 '!$K$19</f>
        <v>Cvls</v>
      </c>
      <c r="R55" s="11" t="str">
        <f t="shared" si="6"/>
        <v>– Cvls</v>
      </c>
      <c r="S55" s="16" t="s">
        <v>54</v>
      </c>
      <c r="T55" s="16" t="s">
        <v>54</v>
      </c>
      <c r="U55" s="16" t="s">
        <v>54</v>
      </c>
      <c r="V55" s="16" t="s">
        <v>54</v>
      </c>
      <c r="W55" s="12"/>
    </row>
    <row r="56" spans="16:23" ht="14.25">
      <c r="P56" t="str">
        <f>'Listen 1 '!$L$11</f>
        <v>Fully armoured</v>
      </c>
      <c r="Q56" s="7" t="str">
        <f>'Listen 1 '!$K$20</f>
        <v>Ho</v>
      </c>
      <c r="R56" s="11" t="str">
        <f t="shared" si="6"/>
        <v>Fully armoured Ho</v>
      </c>
      <c r="S56" s="16" t="s">
        <v>54</v>
      </c>
      <c r="T56" s="16" t="s">
        <v>54</v>
      </c>
      <c r="U56" s="16" t="s">
        <v>54</v>
      </c>
      <c r="V56" s="16" t="s">
        <v>54</v>
      </c>
      <c r="W56" s="12"/>
    </row>
    <row r="57" spans="16:23" ht="14.25">
      <c r="P57" t="str">
        <f>'Listen 1 '!$L$12</f>
        <v>Heavily armoured</v>
      </c>
      <c r="Q57" s="7" t="str">
        <f>'Listen 1 '!$K$20</f>
        <v>Ho</v>
      </c>
      <c r="R57" s="11" t="str">
        <f t="shared" si="6"/>
        <v>Heavily armoured Ho</v>
      </c>
      <c r="S57" s="16">
        <v>16</v>
      </c>
      <c r="T57" s="16">
        <v>13</v>
      </c>
      <c r="U57" s="16">
        <v>9</v>
      </c>
      <c r="V57" s="16">
        <v>5</v>
      </c>
      <c r="W57" s="12"/>
    </row>
    <row r="58" spans="16:23" ht="14.25">
      <c r="P58" t="str">
        <f>'Listen 1 '!$L$13</f>
        <v>Armoured</v>
      </c>
      <c r="Q58" s="7" t="str">
        <f>'Listen 1 '!$K$20</f>
        <v>Ho</v>
      </c>
      <c r="R58" s="11" t="str">
        <f t="shared" si="6"/>
        <v>Armoured Ho</v>
      </c>
      <c r="S58" s="16">
        <v>12</v>
      </c>
      <c r="T58" s="16">
        <v>10</v>
      </c>
      <c r="U58" s="16">
        <v>7</v>
      </c>
      <c r="V58" s="16">
        <v>4</v>
      </c>
      <c r="W58" s="12"/>
    </row>
    <row r="59" spans="16:23" ht="14.25">
      <c r="P59" t="str">
        <f>'Listen 1 '!$L$14</f>
        <v>Unarmoured</v>
      </c>
      <c r="Q59" s="7" t="str">
        <f>'Listen 1 '!$K$20</f>
        <v>Ho</v>
      </c>
      <c r="R59" s="11" t="str">
        <f t="shared" si="6"/>
        <v>Unarmoured Ho</v>
      </c>
      <c r="S59" s="16">
        <v>10</v>
      </c>
      <c r="T59" s="16">
        <v>8</v>
      </c>
      <c r="U59" s="16">
        <v>5</v>
      </c>
      <c r="V59" s="16">
        <v>3</v>
      </c>
      <c r="W59" s="12"/>
    </row>
    <row r="60" spans="16:23" ht="14.25">
      <c r="P60" t="str">
        <f>'Listen 1 '!$L$15</f>
        <v>–</v>
      </c>
      <c r="Q60" s="7" t="str">
        <f>'Listen 1 '!$K$20</f>
        <v>Ho</v>
      </c>
      <c r="R60" s="11" t="str">
        <f t="shared" si="6"/>
        <v>– Ho</v>
      </c>
      <c r="S60" s="16" t="s">
        <v>54</v>
      </c>
      <c r="T60" s="16" t="s">
        <v>54</v>
      </c>
      <c r="U60" s="16" t="s">
        <v>54</v>
      </c>
      <c r="V60" s="16" t="s">
        <v>54</v>
      </c>
      <c r="W60" s="12"/>
    </row>
    <row r="61" spans="16:23" ht="14.25">
      <c r="P61" t="str">
        <f>'Listen 1 '!$L$11</f>
        <v>Fully armoured</v>
      </c>
      <c r="Q61" s="7" t="str">
        <f>'Listen 1 '!$K$21</f>
        <v>DHo</v>
      </c>
      <c r="R61" s="11" t="str">
        <f t="shared" si="6"/>
        <v>Fully armoured DHo</v>
      </c>
      <c r="S61" s="16" t="s">
        <v>54</v>
      </c>
      <c r="T61" s="16" t="s">
        <v>54</v>
      </c>
      <c r="U61" s="16" t="s">
        <v>54</v>
      </c>
      <c r="V61" s="16" t="s">
        <v>54</v>
      </c>
      <c r="W61" s="12"/>
    </row>
    <row r="62" spans="16:23" ht="14.25">
      <c r="P62" t="str">
        <f>'Listen 1 '!$L$12</f>
        <v>Heavily armoured</v>
      </c>
      <c r="Q62" s="7" t="str">
        <f>'Listen 1 '!$K$21</f>
        <v>DHo</v>
      </c>
      <c r="R62" s="11" t="str">
        <f t="shared" si="6"/>
        <v>Heavily armoured DHo</v>
      </c>
      <c r="S62" s="16" t="s">
        <v>54</v>
      </c>
      <c r="T62" s="16" t="s">
        <v>54</v>
      </c>
      <c r="U62" s="16" t="s">
        <v>54</v>
      </c>
      <c r="V62" s="16" t="s">
        <v>54</v>
      </c>
      <c r="W62" s="12"/>
    </row>
    <row r="63" spans="16:23" ht="14.25">
      <c r="P63" t="str">
        <f>'Listen 1 '!$L$13</f>
        <v>Armoured</v>
      </c>
      <c r="Q63" s="7" t="str">
        <f>'Listen 1 '!$K$21</f>
        <v>DHo</v>
      </c>
      <c r="R63" s="11" t="str">
        <f t="shared" si="6"/>
        <v>Armoured DHo</v>
      </c>
      <c r="S63" s="16">
        <v>22</v>
      </c>
      <c r="T63" s="16">
        <v>18</v>
      </c>
      <c r="U63" s="16">
        <v>12</v>
      </c>
      <c r="V63" s="16">
        <v>8</v>
      </c>
      <c r="W63" s="12"/>
    </row>
    <row r="64" spans="16:23" ht="14.25">
      <c r="P64" t="str">
        <f>'Listen 1 '!$L$14</f>
        <v>Unarmoured</v>
      </c>
      <c r="Q64" s="7" t="str">
        <f>'Listen 1 '!$K$21</f>
        <v>DHo</v>
      </c>
      <c r="R64" s="11" t="str">
        <f t="shared" si="6"/>
        <v>Unarmoured DHo</v>
      </c>
      <c r="S64" s="16">
        <v>18</v>
      </c>
      <c r="T64" s="16">
        <v>15</v>
      </c>
      <c r="U64" s="16">
        <v>9</v>
      </c>
      <c r="V64" s="16">
        <v>6</v>
      </c>
      <c r="W64" s="12"/>
    </row>
    <row r="65" spans="16:23" ht="14.25">
      <c r="P65" t="str">
        <f>'Listen 1 '!$L$15</f>
        <v>–</v>
      </c>
      <c r="Q65" s="7" t="str">
        <f>'Listen 1 '!$K$21</f>
        <v>DHo</v>
      </c>
      <c r="R65" s="11" t="str">
        <f t="shared" si="6"/>
        <v>– DHo</v>
      </c>
      <c r="S65" s="16" t="s">
        <v>54</v>
      </c>
      <c r="T65" s="16" t="s">
        <v>54</v>
      </c>
      <c r="U65" s="16" t="s">
        <v>54</v>
      </c>
      <c r="V65" s="16" t="s">
        <v>54</v>
      </c>
      <c r="W65" s="12"/>
    </row>
    <row r="66" spans="16:23" ht="14.25">
      <c r="P66" t="str">
        <f>'Listen 1 '!$L$11</f>
        <v>Fully armoured</v>
      </c>
      <c r="Q66" s="7" t="str">
        <f>'Listen 1 '!$K$22</f>
        <v>LH</v>
      </c>
      <c r="R66" s="11" t="str">
        <f t="shared" si="6"/>
        <v>Fully armoured LH</v>
      </c>
      <c r="S66" s="16" t="s">
        <v>54</v>
      </c>
      <c r="T66" s="16" t="s">
        <v>54</v>
      </c>
      <c r="U66" s="16" t="s">
        <v>54</v>
      </c>
      <c r="V66" s="16" t="s">
        <v>54</v>
      </c>
      <c r="W66" s="12"/>
    </row>
    <row r="67" spans="16:23" ht="14.25">
      <c r="P67" t="str">
        <f>'Listen 1 '!$L$12</f>
        <v>Heavily armoured</v>
      </c>
      <c r="Q67" s="7" t="str">
        <f>'Listen 1 '!$K$22</f>
        <v>LH</v>
      </c>
      <c r="R67" s="11" t="str">
        <f t="shared" si="6"/>
        <v>Heavily armoured LH</v>
      </c>
      <c r="S67" s="16" t="s">
        <v>54</v>
      </c>
      <c r="T67" s="16" t="s">
        <v>54</v>
      </c>
      <c r="U67" s="16" t="s">
        <v>54</v>
      </c>
      <c r="V67" s="16" t="s">
        <v>54</v>
      </c>
      <c r="W67" s="12"/>
    </row>
    <row r="68" spans="16:23" ht="14.25">
      <c r="P68" t="str">
        <f>'Listen 1 '!$L$13</f>
        <v>Armoured</v>
      </c>
      <c r="Q68" s="7" t="str">
        <f>'Listen 1 '!$K$22</f>
        <v>LH</v>
      </c>
      <c r="R68" s="11" t="str">
        <f t="shared" si="6"/>
        <v>Armoured LH</v>
      </c>
      <c r="S68" s="16">
        <v>12</v>
      </c>
      <c r="T68" s="16">
        <v>10</v>
      </c>
      <c r="U68" s="16">
        <v>7</v>
      </c>
      <c r="V68" s="16">
        <v>4</v>
      </c>
      <c r="W68" s="12"/>
    </row>
    <row r="69" spans="16:23" ht="14.25">
      <c r="P69" t="str">
        <f>'Listen 1 '!$L$14</f>
        <v>Unarmoured</v>
      </c>
      <c r="Q69" s="7" t="str">
        <f>'Listen 1 '!$K$22</f>
        <v>LH</v>
      </c>
      <c r="R69" s="11" t="str">
        <f t="shared" si="6"/>
        <v>Unarmoured LH</v>
      </c>
      <c r="S69" s="16">
        <v>10</v>
      </c>
      <c r="T69" s="16">
        <v>8</v>
      </c>
      <c r="U69" s="16">
        <v>5</v>
      </c>
      <c r="V69" s="16">
        <v>3</v>
      </c>
      <c r="W69" s="12"/>
    </row>
    <row r="70" spans="16:23" ht="14.25">
      <c r="P70" t="str">
        <f>'Listen 1 '!$L$15</f>
        <v>–</v>
      </c>
      <c r="Q70" s="7" t="str">
        <f>'Listen 1 '!$K$22</f>
        <v>LH</v>
      </c>
      <c r="R70" s="11" t="str">
        <f t="shared" si="6"/>
        <v>– LH</v>
      </c>
      <c r="S70" s="16" t="s">
        <v>54</v>
      </c>
      <c r="T70" s="16" t="s">
        <v>54</v>
      </c>
      <c r="U70" s="16" t="s">
        <v>54</v>
      </c>
      <c r="V70" s="16" t="s">
        <v>54</v>
      </c>
      <c r="W70" s="12"/>
    </row>
    <row r="71" spans="16:23" ht="14.25">
      <c r="P71" t="str">
        <f>'Listen 1 '!$L$11</f>
        <v>Fully armoured</v>
      </c>
      <c r="Q71" s="7" t="str">
        <f>'Listen 1 '!$K$23</f>
        <v>Cv</v>
      </c>
      <c r="R71" s="11" t="str">
        <f t="shared" si="6"/>
        <v>Fully armoured Cv</v>
      </c>
      <c r="S71" s="16" t="s">
        <v>54</v>
      </c>
      <c r="T71" s="16" t="s">
        <v>54</v>
      </c>
      <c r="U71" s="16" t="s">
        <v>54</v>
      </c>
      <c r="V71" s="16" t="s">
        <v>54</v>
      </c>
      <c r="W71" s="12"/>
    </row>
    <row r="72" spans="16:23" ht="14.25">
      <c r="P72" t="str">
        <f>'Listen 1 '!$L$12</f>
        <v>Heavily armoured</v>
      </c>
      <c r="Q72" s="7" t="str">
        <f>'Listen 1 '!$K$23</f>
        <v>Cv</v>
      </c>
      <c r="R72" s="11" t="str">
        <f t="shared" si="6"/>
        <v>Heavily armoured Cv</v>
      </c>
      <c r="S72" s="16">
        <v>18</v>
      </c>
      <c r="T72" s="16">
        <v>15</v>
      </c>
      <c r="U72" s="16">
        <v>10</v>
      </c>
      <c r="V72" s="16">
        <v>6</v>
      </c>
      <c r="W72" s="12"/>
    </row>
    <row r="73" spans="16:23" ht="14.25">
      <c r="P73" t="str">
        <f>'Listen 1 '!$L$13</f>
        <v>Armoured</v>
      </c>
      <c r="Q73" s="7" t="str">
        <f>'Listen 1 '!$K$23</f>
        <v>Cv</v>
      </c>
      <c r="R73" s="11" t="str">
        <f t="shared" si="6"/>
        <v>Armoured Cv</v>
      </c>
      <c r="S73" s="16">
        <v>15</v>
      </c>
      <c r="T73" s="16">
        <v>12</v>
      </c>
      <c r="U73" s="16">
        <v>8</v>
      </c>
      <c r="V73" s="16">
        <v>5</v>
      </c>
      <c r="W73" s="12"/>
    </row>
    <row r="74" spans="16:23" ht="14.25">
      <c r="P74" t="str">
        <f>'Listen 1 '!$L$14</f>
        <v>Unarmoured</v>
      </c>
      <c r="Q74" s="7" t="str">
        <f>'Listen 1 '!$K$23</f>
        <v>Cv</v>
      </c>
      <c r="R74" s="11" t="str">
        <f t="shared" si="6"/>
        <v>Unarmoured Cv</v>
      </c>
      <c r="S74" s="16">
        <v>11</v>
      </c>
      <c r="T74" s="16">
        <v>9</v>
      </c>
      <c r="U74" s="16">
        <v>6</v>
      </c>
      <c r="V74" s="16">
        <v>4</v>
      </c>
      <c r="W74" s="12"/>
    </row>
    <row r="75" spans="16:23" ht="14.25">
      <c r="P75" t="str">
        <f>'Listen 1 '!$L$15</f>
        <v>–</v>
      </c>
      <c r="Q75" s="7" t="str">
        <f>'Listen 1 '!$K$23</f>
        <v>Cv</v>
      </c>
      <c r="R75" s="11" t="str">
        <f t="shared" si="6"/>
        <v>– Cv</v>
      </c>
      <c r="S75" s="16" t="s">
        <v>54</v>
      </c>
      <c r="T75" s="16" t="s">
        <v>54</v>
      </c>
      <c r="U75" s="16" t="s">
        <v>54</v>
      </c>
      <c r="V75" s="16" t="s">
        <v>54</v>
      </c>
      <c r="W75" s="12"/>
    </row>
    <row r="76" spans="16:23" ht="14.25">
      <c r="P76" t="str">
        <f>'Listen 1 '!$L$11</f>
        <v>Fully armoured</v>
      </c>
      <c r="Q76" s="7" t="str">
        <f>'Listen 1 '!$K$24</f>
        <v>Cm</v>
      </c>
      <c r="R76" s="11" t="str">
        <f t="shared" si="6"/>
        <v>Fully armoured Cm</v>
      </c>
      <c r="S76" s="16" t="s">
        <v>54</v>
      </c>
      <c r="T76" s="16" t="s">
        <v>54</v>
      </c>
      <c r="U76" s="16" t="s">
        <v>54</v>
      </c>
      <c r="V76" s="16" t="s">
        <v>54</v>
      </c>
      <c r="W76" s="12"/>
    </row>
    <row r="77" spans="16:23" ht="14.25">
      <c r="P77" t="str">
        <f>'Listen 1 '!$L$12</f>
        <v>Heavily armoured</v>
      </c>
      <c r="Q77" s="7" t="str">
        <f>'Listen 1 '!$K$24</f>
        <v>Cm</v>
      </c>
      <c r="R77" s="11" t="str">
        <f t="shared" si="6"/>
        <v>Heavily armoured Cm</v>
      </c>
      <c r="S77" s="16">
        <f aca="true" t="shared" si="7" ref="S77:V79">S72+1</f>
        <v>19</v>
      </c>
      <c r="T77" s="16">
        <f t="shared" si="7"/>
        <v>16</v>
      </c>
      <c r="U77" s="16">
        <f t="shared" si="7"/>
        <v>11</v>
      </c>
      <c r="V77" s="16">
        <f t="shared" si="7"/>
        <v>7</v>
      </c>
      <c r="W77" s="12"/>
    </row>
    <row r="78" spans="16:23" ht="14.25">
      <c r="P78" t="str">
        <f>'Listen 1 '!$L$13</f>
        <v>Armoured</v>
      </c>
      <c r="Q78" s="7" t="str">
        <f>'Listen 1 '!$K$24</f>
        <v>Cm</v>
      </c>
      <c r="R78" s="11" t="str">
        <f aca="true" t="shared" si="8" ref="R78:R105">P78&amp;" "&amp;Q78</f>
        <v>Armoured Cm</v>
      </c>
      <c r="S78" s="16">
        <f t="shared" si="7"/>
        <v>16</v>
      </c>
      <c r="T78" s="16">
        <f t="shared" si="7"/>
        <v>13</v>
      </c>
      <c r="U78" s="16">
        <f t="shared" si="7"/>
        <v>9</v>
      </c>
      <c r="V78" s="16">
        <f t="shared" si="7"/>
        <v>6</v>
      </c>
      <c r="W78" s="12"/>
    </row>
    <row r="79" spans="16:23" ht="14.25">
      <c r="P79" t="str">
        <f>'Listen 1 '!$L$14</f>
        <v>Unarmoured</v>
      </c>
      <c r="Q79" s="7" t="str">
        <f>'Listen 1 '!$K$24</f>
        <v>Cm</v>
      </c>
      <c r="R79" s="11" t="str">
        <f t="shared" si="8"/>
        <v>Unarmoured Cm</v>
      </c>
      <c r="S79" s="16">
        <f t="shared" si="7"/>
        <v>12</v>
      </c>
      <c r="T79" s="16">
        <f t="shared" si="7"/>
        <v>10</v>
      </c>
      <c r="U79" s="16">
        <f t="shared" si="7"/>
        <v>7</v>
      </c>
      <c r="V79" s="16">
        <f t="shared" si="7"/>
        <v>5</v>
      </c>
      <c r="W79" s="12"/>
    </row>
    <row r="80" spans="16:23" ht="14.25">
      <c r="P80" t="str">
        <f>'Listen 1 '!$L$15</f>
        <v>–</v>
      </c>
      <c r="Q80" s="7" t="str">
        <f>'Listen 1 '!$K$24</f>
        <v>Cm</v>
      </c>
      <c r="R80" s="11" t="str">
        <f t="shared" si="8"/>
        <v>– Cm</v>
      </c>
      <c r="S80" s="16" t="s">
        <v>54</v>
      </c>
      <c r="T80" s="16" t="s">
        <v>54</v>
      </c>
      <c r="U80" s="16" t="s">
        <v>54</v>
      </c>
      <c r="V80" s="16" t="s">
        <v>54</v>
      </c>
      <c r="W80" s="12"/>
    </row>
    <row r="81" spans="16:23" ht="14.25">
      <c r="P81" t="str">
        <f>'Listen 1 '!$L$11</f>
        <v>Fully armoured</v>
      </c>
      <c r="Q81" s="3" t="str">
        <f>'Listen 1 '!$K$25</f>
        <v>El</v>
      </c>
      <c r="R81" s="11" t="str">
        <f t="shared" si="8"/>
        <v>Fully armoured El</v>
      </c>
      <c r="S81" s="16" t="s">
        <v>54</v>
      </c>
      <c r="T81" s="16" t="s">
        <v>54</v>
      </c>
      <c r="U81" s="16" t="s">
        <v>54</v>
      </c>
      <c r="V81" s="16" t="s">
        <v>54</v>
      </c>
      <c r="W81" s="12"/>
    </row>
    <row r="82" spans="16:23" ht="14.25">
      <c r="P82" t="str">
        <f>'Listen 1 '!$L$12</f>
        <v>Heavily armoured</v>
      </c>
      <c r="Q82" s="3" t="str">
        <f>'Listen 1 '!$K$25</f>
        <v>El</v>
      </c>
      <c r="R82" s="11" t="str">
        <f t="shared" si="8"/>
        <v>Heavily armoured El</v>
      </c>
      <c r="S82" s="16" t="s">
        <v>54</v>
      </c>
      <c r="T82" s="16" t="s">
        <v>54</v>
      </c>
      <c r="U82" s="16" t="s">
        <v>54</v>
      </c>
      <c r="V82" s="16" t="s">
        <v>54</v>
      </c>
      <c r="W82" s="12"/>
    </row>
    <row r="83" spans="16:23" ht="14.25">
      <c r="P83" t="str">
        <f>'Listen 1 '!$L$13</f>
        <v>Armoured</v>
      </c>
      <c r="Q83" s="3" t="str">
        <f>'Listen 1 '!$K$25</f>
        <v>El</v>
      </c>
      <c r="R83" s="11" t="str">
        <f t="shared" si="8"/>
        <v>Armoured El</v>
      </c>
      <c r="S83" s="16" t="s">
        <v>54</v>
      </c>
      <c r="T83" s="16" t="s">
        <v>54</v>
      </c>
      <c r="U83" s="16" t="s">
        <v>54</v>
      </c>
      <c r="V83" s="16" t="s">
        <v>54</v>
      </c>
      <c r="W83" s="12"/>
    </row>
    <row r="84" spans="16:23" ht="14.25">
      <c r="P84" t="str">
        <f>'Listen 1 '!$L$14</f>
        <v>Unarmoured</v>
      </c>
      <c r="Q84" s="3" t="str">
        <f>'Listen 1 '!$K$25</f>
        <v>El</v>
      </c>
      <c r="R84" s="11" t="str">
        <f t="shared" si="8"/>
        <v>Unarmoured El</v>
      </c>
      <c r="S84" s="16" t="s">
        <v>54</v>
      </c>
      <c r="T84" s="16" t="s">
        <v>54</v>
      </c>
      <c r="U84" s="16" t="s">
        <v>54</v>
      </c>
      <c r="V84" s="16" t="s">
        <v>54</v>
      </c>
      <c r="W84" s="12"/>
    </row>
    <row r="85" spans="16:23" ht="14.25">
      <c r="P85" t="str">
        <f>'Listen 1 '!$L$15</f>
        <v>–</v>
      </c>
      <c r="Q85" s="3" t="str">
        <f>'Listen 1 '!$K$25</f>
        <v>El</v>
      </c>
      <c r="R85" s="11" t="str">
        <f t="shared" si="8"/>
        <v>– El</v>
      </c>
      <c r="S85" s="16" t="s">
        <v>54</v>
      </c>
      <c r="T85" s="16" t="s">
        <v>54</v>
      </c>
      <c r="U85" s="16">
        <v>25</v>
      </c>
      <c r="V85" s="16" t="s">
        <v>54</v>
      </c>
      <c r="W85" s="12"/>
    </row>
    <row r="86" spans="16:23" ht="14.25">
      <c r="P86" s="5" t="str">
        <f>'Listen 1 '!$L$11</f>
        <v>Fully armoured</v>
      </c>
      <c r="Q86" s="58" t="str">
        <f>'Listen 1 '!$K$26</f>
        <v>BWg</v>
      </c>
      <c r="R86" s="20" t="str">
        <f t="shared" si="8"/>
        <v>Fully armoured BWg</v>
      </c>
      <c r="S86" s="21" t="s">
        <v>54</v>
      </c>
      <c r="T86" s="21" t="s">
        <v>54</v>
      </c>
      <c r="U86" s="21" t="s">
        <v>54</v>
      </c>
      <c r="V86" s="21" t="s">
        <v>54</v>
      </c>
      <c r="W86" s="12"/>
    </row>
    <row r="87" spans="16:23" ht="14.25">
      <c r="P87" s="5" t="str">
        <f>'Listen 1 '!$L$12</f>
        <v>Heavily armoured</v>
      </c>
      <c r="Q87" s="58" t="str">
        <f>'Listen 1 '!$K$26</f>
        <v>BWg</v>
      </c>
      <c r="R87" s="20" t="str">
        <f t="shared" si="8"/>
        <v>Heavily armoured BWg</v>
      </c>
      <c r="S87" s="21" t="s">
        <v>54</v>
      </c>
      <c r="T87" s="21" t="s">
        <v>54</v>
      </c>
      <c r="U87" s="21" t="s">
        <v>54</v>
      </c>
      <c r="V87" s="21" t="s">
        <v>54</v>
      </c>
      <c r="W87" s="12"/>
    </row>
    <row r="88" spans="16:23" ht="14.25">
      <c r="P88" s="5" t="str">
        <f>'Listen 1 '!$L$13</f>
        <v>Armoured</v>
      </c>
      <c r="Q88" s="58" t="str">
        <f>'Listen 1 '!$K$26</f>
        <v>BWg</v>
      </c>
      <c r="R88" s="20" t="str">
        <f t="shared" si="8"/>
        <v>Armoured BWg</v>
      </c>
      <c r="S88" s="21" t="s">
        <v>54</v>
      </c>
      <c r="T88" s="21" t="s">
        <v>54</v>
      </c>
      <c r="U88" s="21" t="s">
        <v>54</v>
      </c>
      <c r="V88" s="21" t="s">
        <v>54</v>
      </c>
      <c r="W88" s="12"/>
    </row>
    <row r="89" spans="16:23" ht="14.25">
      <c r="P89" s="5" t="str">
        <f>'Listen 1 '!$L$14</f>
        <v>Unarmoured</v>
      </c>
      <c r="Q89" s="58" t="str">
        <f>'Listen 1 '!$K$26</f>
        <v>BWg</v>
      </c>
      <c r="R89" s="20" t="str">
        <f t="shared" si="8"/>
        <v>Unarmoured BWg</v>
      </c>
      <c r="S89" s="21" t="s">
        <v>54</v>
      </c>
      <c r="T89" s="21" t="s">
        <v>54</v>
      </c>
      <c r="U89" s="21" t="s">
        <v>54</v>
      </c>
      <c r="V89" s="21" t="s">
        <v>54</v>
      </c>
      <c r="W89" s="12"/>
    </row>
    <row r="90" spans="16:23" ht="14.25">
      <c r="P90" s="5" t="str">
        <f>'Listen 1 '!$L$15</f>
        <v>–</v>
      </c>
      <c r="Q90" s="58" t="str">
        <f>'Listen 1 '!$K$26</f>
        <v>BWg</v>
      </c>
      <c r="R90" s="20" t="str">
        <f t="shared" si="8"/>
        <v>– BWg</v>
      </c>
      <c r="S90" s="21" t="s">
        <v>54</v>
      </c>
      <c r="T90" s="21" t="s">
        <v>54</v>
      </c>
      <c r="U90" s="21">
        <v>14</v>
      </c>
      <c r="V90" s="21">
        <v>8</v>
      </c>
      <c r="W90" s="12"/>
    </row>
    <row r="91" spans="16:23" ht="14.25">
      <c r="P91" s="5" t="str">
        <f>'Listen 1 '!$L$11</f>
        <v>Fully armoured</v>
      </c>
      <c r="Q91" s="58" t="str">
        <f>'Listen 1 '!$K$27</f>
        <v>LArt</v>
      </c>
      <c r="R91" s="20" t="str">
        <f t="shared" si="8"/>
        <v>Fully armoured LArt</v>
      </c>
      <c r="S91" s="21" t="s">
        <v>54</v>
      </c>
      <c r="T91" s="21" t="s">
        <v>54</v>
      </c>
      <c r="U91" s="21" t="s">
        <v>54</v>
      </c>
      <c r="V91" s="21" t="s">
        <v>54</v>
      </c>
      <c r="W91" s="12"/>
    </row>
    <row r="92" spans="16:23" ht="14.25">
      <c r="P92" s="5" t="str">
        <f>'Listen 1 '!$L$12</f>
        <v>Heavily armoured</v>
      </c>
      <c r="Q92" s="58" t="str">
        <f>'Listen 1 '!$K$27</f>
        <v>LArt</v>
      </c>
      <c r="R92" s="20" t="str">
        <f t="shared" si="8"/>
        <v>Heavily armoured LArt</v>
      </c>
      <c r="S92" s="21" t="s">
        <v>54</v>
      </c>
      <c r="T92" s="21" t="s">
        <v>54</v>
      </c>
      <c r="U92" s="21" t="s">
        <v>54</v>
      </c>
      <c r="V92" s="21" t="s">
        <v>54</v>
      </c>
      <c r="W92" s="12"/>
    </row>
    <row r="93" spans="16:23" ht="14.25">
      <c r="P93" s="5" t="str">
        <f>'Listen 1 '!$L$13</f>
        <v>Armoured</v>
      </c>
      <c r="Q93" s="58" t="str">
        <f>'Listen 1 '!$K$27</f>
        <v>LArt</v>
      </c>
      <c r="R93" s="20" t="str">
        <f t="shared" si="8"/>
        <v>Armoured LArt</v>
      </c>
      <c r="S93" s="21" t="s">
        <v>54</v>
      </c>
      <c r="T93" s="21" t="s">
        <v>54</v>
      </c>
      <c r="U93" s="21" t="s">
        <v>54</v>
      </c>
      <c r="V93" s="21" t="s">
        <v>54</v>
      </c>
      <c r="W93" s="12"/>
    </row>
    <row r="94" spans="16:23" ht="14.25">
      <c r="P94" s="5" t="str">
        <f>'Listen 1 '!$L$14</f>
        <v>Unarmoured</v>
      </c>
      <c r="Q94" s="58" t="str">
        <f>'Listen 1 '!$K$27</f>
        <v>LArt</v>
      </c>
      <c r="R94" s="20" t="str">
        <f t="shared" si="8"/>
        <v>Unarmoured LArt</v>
      </c>
      <c r="S94" s="21" t="s">
        <v>54</v>
      </c>
      <c r="T94" s="21" t="s">
        <v>54</v>
      </c>
      <c r="U94" s="21" t="s">
        <v>54</v>
      </c>
      <c r="V94" s="21" t="s">
        <v>54</v>
      </c>
      <c r="W94" s="12"/>
    </row>
    <row r="95" spans="16:23" ht="14.25">
      <c r="P95" s="5" t="str">
        <f>'Listen 1 '!$L$15</f>
        <v>–</v>
      </c>
      <c r="Q95" s="58" t="str">
        <f>'Listen 1 '!$K$27</f>
        <v>LArt</v>
      </c>
      <c r="R95" s="20" t="str">
        <f t="shared" si="8"/>
        <v>– LArt</v>
      </c>
      <c r="S95" s="21" t="s">
        <v>54</v>
      </c>
      <c r="T95" s="21">
        <v>16</v>
      </c>
      <c r="U95" s="21">
        <v>12</v>
      </c>
      <c r="V95" s="21">
        <v>9</v>
      </c>
      <c r="W95" s="12"/>
    </row>
    <row r="96" spans="16:23" ht="14.25">
      <c r="P96" s="5" t="str">
        <f>'Listen 1 '!$L$11</f>
        <v>Fully armoured</v>
      </c>
      <c r="Q96" s="58" t="str">
        <f>'Listen 1 '!$K$28</f>
        <v>MArt</v>
      </c>
      <c r="R96" s="20" t="str">
        <f t="shared" si="8"/>
        <v>Fully armoured MArt</v>
      </c>
      <c r="S96" s="21" t="s">
        <v>54</v>
      </c>
      <c r="T96" s="21" t="s">
        <v>54</v>
      </c>
      <c r="U96" s="21" t="s">
        <v>54</v>
      </c>
      <c r="V96" s="21" t="s">
        <v>54</v>
      </c>
      <c r="W96" s="12"/>
    </row>
    <row r="97" spans="16:23" ht="14.25">
      <c r="P97" s="5" t="str">
        <f>'Listen 1 '!$L$12</f>
        <v>Heavily armoured</v>
      </c>
      <c r="Q97" s="58" t="str">
        <f>'Listen 1 '!$K$28</f>
        <v>MArt</v>
      </c>
      <c r="R97" s="20" t="str">
        <f t="shared" si="8"/>
        <v>Heavily armoured MArt</v>
      </c>
      <c r="S97" s="21" t="s">
        <v>54</v>
      </c>
      <c r="T97" s="21" t="s">
        <v>54</v>
      </c>
      <c r="U97" s="21" t="s">
        <v>54</v>
      </c>
      <c r="V97" s="21" t="s">
        <v>54</v>
      </c>
      <c r="W97" s="12"/>
    </row>
    <row r="98" spans="16:23" ht="14.25">
      <c r="P98" s="5" t="str">
        <f>'Listen 1 '!$L$13</f>
        <v>Armoured</v>
      </c>
      <c r="Q98" s="58" t="str">
        <f>'Listen 1 '!$K$28</f>
        <v>MArt</v>
      </c>
      <c r="R98" s="20" t="str">
        <f t="shared" si="8"/>
        <v>Armoured MArt</v>
      </c>
      <c r="S98" s="21" t="s">
        <v>54</v>
      </c>
      <c r="T98" s="21" t="s">
        <v>54</v>
      </c>
      <c r="U98" s="21" t="s">
        <v>54</v>
      </c>
      <c r="V98" s="21" t="s">
        <v>54</v>
      </c>
      <c r="W98" s="12"/>
    </row>
    <row r="99" spans="16:23" ht="14.25">
      <c r="P99" s="5" t="str">
        <f>'Listen 1 '!$L$14</f>
        <v>Unarmoured</v>
      </c>
      <c r="Q99" s="58" t="str">
        <f>'Listen 1 '!$K$28</f>
        <v>MArt</v>
      </c>
      <c r="R99" s="20" t="str">
        <f t="shared" si="8"/>
        <v>Unarmoured MArt</v>
      </c>
      <c r="S99" s="21" t="s">
        <v>54</v>
      </c>
      <c r="T99" s="21" t="s">
        <v>54</v>
      </c>
      <c r="U99" s="21" t="s">
        <v>54</v>
      </c>
      <c r="V99" s="21" t="s">
        <v>54</v>
      </c>
      <c r="W99" s="12"/>
    </row>
    <row r="100" spans="16:23" ht="14.25">
      <c r="P100" s="5" t="str">
        <f>'Listen 1 '!$L$15</f>
        <v>–</v>
      </c>
      <c r="Q100" s="58" t="str">
        <f>'Listen 1 '!$K$28</f>
        <v>MArt</v>
      </c>
      <c r="R100" s="20" t="str">
        <f t="shared" si="8"/>
        <v>– MArt</v>
      </c>
      <c r="S100" s="21" t="s">
        <v>54</v>
      </c>
      <c r="T100" s="21">
        <v>26</v>
      </c>
      <c r="U100" s="21">
        <v>20</v>
      </c>
      <c r="V100" s="21">
        <v>14</v>
      </c>
      <c r="W100" s="12"/>
    </row>
    <row r="101" spans="16:23" ht="14.25">
      <c r="P101" s="5" t="str">
        <f>'Listen 1 '!$L$11</f>
        <v>Fully armoured</v>
      </c>
      <c r="Q101" s="58" t="str">
        <f>'Listen 1 '!$K$28</f>
        <v>MArt</v>
      </c>
      <c r="R101" s="20" t="str">
        <f t="shared" si="8"/>
        <v>Fully armoured MArt</v>
      </c>
      <c r="S101" s="21" t="s">
        <v>54</v>
      </c>
      <c r="T101" s="21" t="s">
        <v>54</v>
      </c>
      <c r="U101" s="21" t="s">
        <v>54</v>
      </c>
      <c r="V101" s="21" t="s">
        <v>54</v>
      </c>
      <c r="W101" s="12"/>
    </row>
    <row r="102" spans="16:23" ht="14.25">
      <c r="P102" s="5" t="str">
        <f>'Listen 1 '!$L$12</f>
        <v>Heavily armoured</v>
      </c>
      <c r="Q102" s="58" t="str">
        <f>'Listen 1 '!$K$29</f>
        <v>HArt</v>
      </c>
      <c r="R102" s="20" t="str">
        <f t="shared" si="8"/>
        <v>Heavily armoured HArt</v>
      </c>
      <c r="S102" s="21" t="s">
        <v>54</v>
      </c>
      <c r="T102" s="21" t="s">
        <v>54</v>
      </c>
      <c r="U102" s="21" t="s">
        <v>54</v>
      </c>
      <c r="V102" s="21" t="s">
        <v>54</v>
      </c>
      <c r="W102" s="12"/>
    </row>
    <row r="103" spans="16:23" ht="14.25">
      <c r="P103" s="5" t="str">
        <f>'Listen 1 '!$L$13</f>
        <v>Armoured</v>
      </c>
      <c r="Q103" s="58" t="str">
        <f>'Listen 1 '!$K$29</f>
        <v>HArt</v>
      </c>
      <c r="R103" s="20" t="str">
        <f t="shared" si="8"/>
        <v>Armoured HArt</v>
      </c>
      <c r="S103" s="21" t="s">
        <v>54</v>
      </c>
      <c r="T103" s="21" t="s">
        <v>54</v>
      </c>
      <c r="U103" s="21" t="s">
        <v>54</v>
      </c>
      <c r="V103" s="21" t="s">
        <v>54</v>
      </c>
      <c r="W103" s="12"/>
    </row>
    <row r="104" spans="16:23" ht="14.25">
      <c r="P104" s="5" t="str">
        <f>'Listen 1 '!$L$14</f>
        <v>Unarmoured</v>
      </c>
      <c r="Q104" s="58" t="str">
        <f>'Listen 1 '!$K$29</f>
        <v>HArt</v>
      </c>
      <c r="R104" s="20" t="str">
        <f t="shared" si="8"/>
        <v>Unarmoured HArt</v>
      </c>
      <c r="S104" s="21" t="s">
        <v>54</v>
      </c>
      <c r="T104" s="21" t="s">
        <v>54</v>
      </c>
      <c r="U104" s="21" t="s">
        <v>54</v>
      </c>
      <c r="V104" s="21" t="s">
        <v>54</v>
      </c>
      <c r="W104" s="12"/>
    </row>
    <row r="105" spans="16:23" ht="14.25">
      <c r="P105" s="5" t="str">
        <f>'Listen 1 '!$L$15</f>
        <v>–</v>
      </c>
      <c r="Q105" s="58" t="str">
        <f>'Listen 1 '!$K$29</f>
        <v>HArt</v>
      </c>
      <c r="R105" s="20" t="str">
        <f t="shared" si="8"/>
        <v>– HArt</v>
      </c>
      <c r="S105" s="21" t="s">
        <v>54</v>
      </c>
      <c r="T105" s="21">
        <v>32</v>
      </c>
      <c r="U105" s="21">
        <v>25</v>
      </c>
      <c r="V105" s="21">
        <v>17</v>
      </c>
      <c r="W105" s="12"/>
    </row>
    <row r="106" spans="16:23" ht="14.25">
      <c r="P106" t="str">
        <f>'Listen 1 '!$L$11</f>
        <v>Fully armoured</v>
      </c>
      <c r="Q106" s="3" t="str">
        <f>'Listen 1 '!$K$30</f>
        <v>–</v>
      </c>
      <c r="R106" s="11" t="str">
        <f>P106&amp;" "&amp;Q106</f>
        <v>Fully armoured –</v>
      </c>
      <c r="S106" s="16" t="s">
        <v>54</v>
      </c>
      <c r="T106" s="16" t="s">
        <v>54</v>
      </c>
      <c r="U106" s="16" t="s">
        <v>54</v>
      </c>
      <c r="V106" s="16" t="s">
        <v>54</v>
      </c>
      <c r="W106" s="12"/>
    </row>
    <row r="107" spans="16:23" ht="14.25">
      <c r="P107" t="str">
        <f>'Listen 1 '!$L$12</f>
        <v>Heavily armoured</v>
      </c>
      <c r="Q107" s="3" t="str">
        <f>'Listen 1 '!$K$30</f>
        <v>–</v>
      </c>
      <c r="R107" s="11" t="str">
        <f>P107&amp;" "&amp;Q107</f>
        <v>Heavily armoured –</v>
      </c>
      <c r="S107" s="16" t="s">
        <v>54</v>
      </c>
      <c r="T107" s="16" t="s">
        <v>54</v>
      </c>
      <c r="U107" s="16" t="s">
        <v>54</v>
      </c>
      <c r="V107" s="16" t="s">
        <v>54</v>
      </c>
      <c r="W107" s="12"/>
    </row>
    <row r="108" spans="16:23" ht="14.25">
      <c r="P108" t="str">
        <f>'Listen 1 '!$L$13</f>
        <v>Armoured</v>
      </c>
      <c r="Q108" s="3" t="str">
        <f>'Listen 1 '!$K$30</f>
        <v>–</v>
      </c>
      <c r="R108" s="11" t="str">
        <f>P108&amp;" "&amp;Q108</f>
        <v>Armoured –</v>
      </c>
      <c r="S108" s="16" t="s">
        <v>54</v>
      </c>
      <c r="T108" s="16" t="s">
        <v>54</v>
      </c>
      <c r="U108" s="16" t="s">
        <v>54</v>
      </c>
      <c r="V108" s="16" t="s">
        <v>54</v>
      </c>
      <c r="W108" s="12"/>
    </row>
    <row r="109" spans="16:23" ht="14.25">
      <c r="P109" t="str">
        <f>'Listen 1 '!$L$14</f>
        <v>Unarmoured</v>
      </c>
      <c r="Q109" s="3" t="str">
        <f>'Listen 1 '!$K$30</f>
        <v>–</v>
      </c>
      <c r="R109" s="11" t="str">
        <f>P109&amp;" "&amp;Q109</f>
        <v>Unarmoured –</v>
      </c>
      <c r="S109" s="16" t="s">
        <v>54</v>
      </c>
      <c r="T109" s="16" t="s">
        <v>54</v>
      </c>
      <c r="U109" s="16" t="s">
        <v>54</v>
      </c>
      <c r="V109" s="16" t="s">
        <v>54</v>
      </c>
      <c r="W109" s="12"/>
    </row>
    <row r="110" spans="16:23" ht="14.25">
      <c r="P110" t="str">
        <f>'Listen 1 '!$L$15</f>
        <v>–</v>
      </c>
      <c r="Q110" s="3" t="str">
        <f>'Listen 1 '!$K$30</f>
        <v>–</v>
      </c>
      <c r="R110" s="11" t="str">
        <f>P110&amp;" "&amp;Q110</f>
        <v>– –</v>
      </c>
      <c r="S110" s="16" t="s">
        <v>54</v>
      </c>
      <c r="T110" s="16" t="s">
        <v>54</v>
      </c>
      <c r="U110" s="16" t="s">
        <v>54</v>
      </c>
      <c r="V110" s="16" t="s">
        <v>54</v>
      </c>
      <c r="W110" s="12"/>
    </row>
    <row r="111" spans="17:23" ht="14.25">
      <c r="Q111" s="7">
        <f>'Listen 1 '!$K$31</f>
        <v>0</v>
      </c>
      <c r="R111" s="13" t="str">
        <f>P111&amp;" "&amp;Q111</f>
        <v> 0</v>
      </c>
      <c r="S111" s="17" t="s">
        <v>54</v>
      </c>
      <c r="T111" s="17" t="s">
        <v>54</v>
      </c>
      <c r="U111" s="17" t="s">
        <v>54</v>
      </c>
      <c r="V111" s="17" t="s">
        <v>54</v>
      </c>
      <c r="W111" s="12"/>
    </row>
    <row r="112" ht="14.25">
      <c r="W112" s="12"/>
    </row>
    <row r="113" ht="14.25">
      <c r="W113" s="12"/>
    </row>
    <row r="114" ht="14.25">
      <c r="W114" s="12"/>
    </row>
    <row r="115" ht="14.25">
      <c r="W115" s="12"/>
    </row>
    <row r="116" ht="14.25">
      <c r="W116" s="12"/>
    </row>
    <row r="117" ht="14.25">
      <c r="W117" s="12"/>
    </row>
    <row r="118" ht="14.25">
      <c r="W118" s="12"/>
    </row>
    <row r="119" ht="14.25">
      <c r="W119" s="12"/>
    </row>
    <row r="120" ht="14.25">
      <c r="W120" s="12"/>
    </row>
    <row r="121" ht="14.25">
      <c r="W121" s="14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1:L45"/>
  <sheetViews>
    <sheetView zoomScalePageLayoutView="0" workbookViewId="0" topLeftCell="A1">
      <selection activeCell="O30" sqref="O30"/>
    </sheetView>
  </sheetViews>
  <sheetFormatPr defaultColWidth="11.421875" defaultRowHeight="15"/>
  <cols>
    <col min="1" max="10" width="1.7109375" style="0" customWidth="1"/>
  </cols>
  <sheetData>
    <row r="1" ht="7.5" customHeight="1"/>
    <row r="2" ht="7.5" customHeight="1"/>
    <row r="3" ht="7.5" customHeight="1"/>
    <row r="4" ht="7.5" customHeight="1"/>
    <row r="5" ht="7.5" customHeight="1"/>
    <row r="6" ht="7.5" customHeight="1"/>
    <row r="7" ht="7.5" customHeight="1"/>
    <row r="8" ht="7.5" customHeight="1"/>
    <row r="9" ht="7.5" customHeight="1"/>
    <row r="10" ht="7.5" customHeight="1"/>
    <row r="11" spans="11:12" ht="14.25">
      <c r="K11" s="104" t="s">
        <v>159</v>
      </c>
      <c r="L11" s="104" t="s">
        <v>160</v>
      </c>
    </row>
    <row r="12" spans="11:12" ht="14.25">
      <c r="K12" s="104" t="s">
        <v>161</v>
      </c>
      <c r="L12" s="104" t="s">
        <v>162</v>
      </c>
    </row>
    <row r="13" spans="11:12" ht="14.25">
      <c r="K13" s="104" t="s">
        <v>163</v>
      </c>
      <c r="L13" s="104" t="s">
        <v>164</v>
      </c>
    </row>
    <row r="14" spans="11:12" ht="14.25">
      <c r="K14" s="104" t="s">
        <v>165</v>
      </c>
      <c r="L14" s="104" t="s">
        <v>166</v>
      </c>
    </row>
    <row r="15" spans="11:12" ht="14.25">
      <c r="K15" s="104" t="s">
        <v>167</v>
      </c>
      <c r="L15" s="104" t="s">
        <v>168</v>
      </c>
    </row>
    <row r="16" spans="11:12" ht="14.25">
      <c r="K16" s="104" t="s">
        <v>169</v>
      </c>
      <c r="L16" s="104" t="s">
        <v>170</v>
      </c>
    </row>
    <row r="17" spans="11:12" ht="14.25">
      <c r="K17" s="104" t="s">
        <v>145</v>
      </c>
      <c r="L17" s="104" t="s">
        <v>171</v>
      </c>
    </row>
    <row r="18" spans="11:12" ht="14.25">
      <c r="K18" s="104" t="s">
        <v>172</v>
      </c>
      <c r="L18" s="104" t="s">
        <v>173</v>
      </c>
    </row>
    <row r="19" spans="11:12" ht="14.25">
      <c r="K19" s="104" t="s">
        <v>174</v>
      </c>
      <c r="L19" s="104" t="s">
        <v>175</v>
      </c>
    </row>
    <row r="20" spans="11:12" ht="14.25">
      <c r="K20" s="104" t="s">
        <v>176</v>
      </c>
      <c r="L20" s="104" t="s">
        <v>177</v>
      </c>
    </row>
    <row r="21" spans="11:12" ht="14.25">
      <c r="K21" s="104" t="s">
        <v>178</v>
      </c>
      <c r="L21" s="104" t="s">
        <v>179</v>
      </c>
    </row>
    <row r="22" spans="11:12" ht="14.25">
      <c r="K22" s="104" t="s">
        <v>180</v>
      </c>
      <c r="L22" s="104" t="s">
        <v>181</v>
      </c>
    </row>
    <row r="23" spans="11:12" ht="14.25">
      <c r="K23" s="104" t="s">
        <v>182</v>
      </c>
      <c r="L23" s="104" t="s">
        <v>183</v>
      </c>
    </row>
    <row r="24" spans="11:12" ht="14.25">
      <c r="K24" s="104" t="s">
        <v>184</v>
      </c>
      <c r="L24" s="104" t="s">
        <v>185</v>
      </c>
    </row>
    <row r="25" spans="11:12" ht="14.25">
      <c r="K25" s="104" t="s">
        <v>186</v>
      </c>
      <c r="L25" s="104" t="s">
        <v>187</v>
      </c>
    </row>
    <row r="26" spans="11:12" ht="14.25">
      <c r="K26" s="104" t="s">
        <v>188</v>
      </c>
      <c r="L26" s="104" t="s">
        <v>189</v>
      </c>
    </row>
    <row r="27" spans="11:12" ht="14.25">
      <c r="K27" s="104" t="s">
        <v>190</v>
      </c>
      <c r="L27" s="104" t="s">
        <v>191</v>
      </c>
    </row>
    <row r="28" spans="11:12" ht="14.25">
      <c r="K28" s="104" t="s">
        <v>192</v>
      </c>
      <c r="L28" s="104" t="s">
        <v>193</v>
      </c>
    </row>
    <row r="29" spans="11:12" ht="14.25">
      <c r="K29" s="104" t="s">
        <v>194</v>
      </c>
      <c r="L29" s="104" t="s">
        <v>195</v>
      </c>
    </row>
    <row r="30" spans="11:12" ht="14.25">
      <c r="K30" s="104" t="s">
        <v>196</v>
      </c>
      <c r="L30" s="104" t="s">
        <v>197</v>
      </c>
    </row>
    <row r="31" spans="11:12" ht="14.25">
      <c r="K31" s="104" t="s">
        <v>198</v>
      </c>
      <c r="L31" s="104" t="s">
        <v>199</v>
      </c>
    </row>
    <row r="32" spans="11:12" ht="14.25">
      <c r="K32" s="104" t="s">
        <v>200</v>
      </c>
      <c r="L32" s="104" t="s">
        <v>201</v>
      </c>
    </row>
    <row r="33" spans="11:12" ht="14.25">
      <c r="K33" s="104" t="s">
        <v>202</v>
      </c>
      <c r="L33" s="104" t="s">
        <v>203</v>
      </c>
    </row>
    <row r="34" spans="11:12" ht="14.25">
      <c r="K34" s="104" t="s">
        <v>204</v>
      </c>
      <c r="L34" s="104" t="s">
        <v>205</v>
      </c>
    </row>
    <row r="35" spans="11:12" ht="14.25">
      <c r="K35" s="104" t="s">
        <v>206</v>
      </c>
      <c r="L35" s="104" t="s">
        <v>207</v>
      </c>
    </row>
    <row r="36" spans="11:12" ht="14.25">
      <c r="K36" s="104" t="s">
        <v>208</v>
      </c>
      <c r="L36" s="104" t="s">
        <v>209</v>
      </c>
    </row>
    <row r="37" spans="11:12" ht="14.25">
      <c r="K37" s="104" t="s">
        <v>210</v>
      </c>
      <c r="L37" s="104" t="s">
        <v>211</v>
      </c>
    </row>
    <row r="38" spans="11:12" ht="14.25">
      <c r="K38" s="104" t="s">
        <v>212</v>
      </c>
      <c r="L38" s="104" t="s">
        <v>213</v>
      </c>
    </row>
    <row r="39" spans="11:12" ht="14.25">
      <c r="K39" s="104" t="s">
        <v>214</v>
      </c>
      <c r="L39" s="104" t="s">
        <v>215</v>
      </c>
    </row>
    <row r="40" spans="11:12" ht="14.25">
      <c r="K40" s="104" t="s">
        <v>216</v>
      </c>
      <c r="L40" s="104" t="s">
        <v>217</v>
      </c>
    </row>
    <row r="41" spans="11:12" ht="14.25">
      <c r="K41" s="104" t="s">
        <v>218</v>
      </c>
      <c r="L41" s="104" t="s">
        <v>219</v>
      </c>
    </row>
    <row r="42" spans="11:12" ht="14.25">
      <c r="K42" s="104" t="s">
        <v>220</v>
      </c>
      <c r="L42" s="104" t="s">
        <v>221</v>
      </c>
    </row>
    <row r="43" spans="11:12" ht="14.25">
      <c r="K43" s="104" t="s">
        <v>222</v>
      </c>
      <c r="L43" s="104" t="s">
        <v>223</v>
      </c>
    </row>
    <row r="44" spans="11:12" ht="14.25">
      <c r="K44" s="104" t="s">
        <v>224</v>
      </c>
      <c r="L44" s="104" t="s">
        <v>225</v>
      </c>
    </row>
    <row r="45" spans="11:12" ht="14.25">
      <c r="K45" s="104" t="s">
        <v>226</v>
      </c>
      <c r="L45" s="104" t="s">
        <v>227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Mixa</dc:creator>
  <cp:keywords/>
  <dc:description/>
  <cp:lastModifiedBy>Thomas Mixa</cp:lastModifiedBy>
  <cp:lastPrinted>2010-10-25T15:29:35Z</cp:lastPrinted>
  <dcterms:created xsi:type="dcterms:W3CDTF">2009-07-17T17:48:38Z</dcterms:created>
  <dcterms:modified xsi:type="dcterms:W3CDTF">2010-12-02T18:40:14Z</dcterms:modified>
  <cp:category/>
  <cp:version/>
  <cp:contentType/>
  <cp:contentStatus/>
</cp:coreProperties>
</file>